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ainetibbatts/Downloads/"/>
    </mc:Choice>
  </mc:AlternateContent>
  <xr:revisionPtr revIDLastSave="0" documentId="8_{64FA0398-A944-9443-A452-AF0523FE73FA}" xr6:coauthVersionLast="47" xr6:coauthVersionMax="47" xr10:uidLastSave="{00000000-0000-0000-0000-000000000000}"/>
  <bookViews>
    <workbookView xWindow="0" yWindow="660" windowWidth="23260" windowHeight="13900" firstSheet="3" activeTab="3" xr2:uid="{5E720A25-4145-416D-926D-DAE7E41EDE83}"/>
  </bookViews>
  <sheets>
    <sheet name="Fee Structure" sheetId="1" r:id="rId1"/>
    <sheet name="Fees Summary" sheetId="3" r:id="rId2"/>
    <sheet name="Yr 1 (Jan 2023+)" sheetId="8" r:id="rId3"/>
    <sheet name="Apr 2025-26" sheetId="14" r:id="rId4"/>
    <sheet name="New Cash Flow!  Sept 23" sheetId="9" state="hidden" r:id="rId5"/>
    <sheet name="P&amp;L Account" sheetId="10" state="hidden" r:id="rId6"/>
    <sheet name="Costs 22.23" sheetId="6" state="hidden" r:id="rId7"/>
    <sheet name="Mileage 22.23" sheetId="7" state="hidden" r:id="rId8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4" l="1"/>
  <c r="F62" i="14"/>
  <c r="G62" i="14"/>
  <c r="H62" i="14"/>
  <c r="I62" i="14"/>
  <c r="J62" i="14"/>
  <c r="K62" i="14"/>
  <c r="L62" i="14"/>
  <c r="M62" i="14"/>
  <c r="N62" i="14"/>
  <c r="D62" i="14"/>
  <c r="C30" i="14"/>
  <c r="G54" i="14"/>
  <c r="F54" i="14"/>
  <c r="E54" i="14"/>
  <c r="D54" i="14"/>
  <c r="C54" i="14"/>
  <c r="N54" i="14"/>
  <c r="M54" i="14"/>
  <c r="L54" i="14"/>
  <c r="K54" i="14"/>
  <c r="J54" i="14"/>
  <c r="I54" i="14"/>
  <c r="H54" i="14"/>
  <c r="I36" i="14"/>
  <c r="H36" i="14"/>
  <c r="G36" i="14"/>
  <c r="F36" i="14"/>
  <c r="E36" i="14"/>
  <c r="D36" i="14"/>
  <c r="C36" i="14"/>
  <c r="I30" i="14"/>
  <c r="H30" i="14"/>
  <c r="G30" i="14"/>
  <c r="F30" i="14"/>
  <c r="E30" i="14"/>
  <c r="D30" i="14"/>
  <c r="N36" i="14"/>
  <c r="M36" i="14"/>
  <c r="L36" i="14"/>
  <c r="K36" i="14"/>
  <c r="J36" i="14"/>
  <c r="N30" i="14"/>
  <c r="M30" i="14"/>
  <c r="L30" i="14"/>
  <c r="K30" i="14"/>
  <c r="J30" i="14"/>
  <c r="N14" i="14"/>
  <c r="M14" i="14"/>
  <c r="L14" i="14"/>
  <c r="K14" i="14"/>
  <c r="J14" i="14"/>
  <c r="I14" i="14"/>
  <c r="H14" i="14"/>
  <c r="G14" i="14"/>
  <c r="F14" i="14"/>
  <c r="E14" i="14"/>
  <c r="D14" i="14"/>
  <c r="S71" i="8"/>
  <c r="S74" i="8"/>
  <c r="S85" i="8"/>
  <c r="S88" i="8"/>
  <c r="S70" i="8"/>
  <c r="S21" i="8"/>
  <c r="S89" i="8"/>
  <c r="R88" i="8"/>
  <c r="R71" i="8"/>
  <c r="Q85" i="8"/>
  <c r="R85" i="8"/>
  <c r="R70" i="8"/>
  <c r="R66" i="8"/>
  <c r="R54" i="8"/>
  <c r="S81" i="8"/>
  <c r="R81" i="8"/>
  <c r="Q81" i="8"/>
  <c r="Q88" i="8"/>
  <c r="Q82" i="8"/>
  <c r="O82" i="8"/>
  <c r="Q38" i="8"/>
  <c r="Q16" i="8"/>
  <c r="Q89" i="8"/>
  <c r="Q59" i="8"/>
  <c r="Q90" i="8"/>
  <c r="Q72" i="8"/>
  <c r="R90" i="8"/>
  <c r="S90" i="8"/>
  <c r="O88" i="8"/>
  <c r="S28" i="8"/>
  <c r="P44" i="8"/>
  <c r="Q44" i="8"/>
  <c r="R44" i="8"/>
  <c r="S44" i="8"/>
  <c r="O53" i="8"/>
  <c r="O71" i="8"/>
  <c r="O90" i="8"/>
  <c r="O70" i="8"/>
  <c r="Q37" i="8"/>
  <c r="Q73" i="8"/>
  <c r="N71" i="8"/>
  <c r="N82" i="8"/>
  <c r="N89" i="8"/>
  <c r="O89" i="8"/>
  <c r="M82" i="8"/>
  <c r="S40" i="8"/>
  <c r="R40" i="8"/>
  <c r="Q40" i="8"/>
  <c r="Q47" i="8"/>
  <c r="B40" i="8"/>
  <c r="A40" i="8"/>
  <c r="R89" i="8"/>
  <c r="M71" i="8"/>
  <c r="M54" i="8"/>
  <c r="L71" i="8"/>
  <c r="L74" i="8"/>
  <c r="K2" i="9"/>
  <c r="K71" i="8"/>
  <c r="K74" i="8"/>
  <c r="H79" i="8"/>
  <c r="H26" i="8"/>
  <c r="H27" i="8"/>
  <c r="H28" i="8"/>
  <c r="H29" i="8"/>
  <c r="H30" i="8"/>
  <c r="H32" i="8"/>
  <c r="H33" i="8"/>
  <c r="H34" i="8"/>
  <c r="H35" i="8"/>
  <c r="H36" i="8"/>
  <c r="H37" i="8"/>
  <c r="B38" i="8"/>
  <c r="H38" i="8"/>
  <c r="H16" i="8"/>
  <c r="H39" i="8"/>
  <c r="H41" i="8"/>
  <c r="G2" i="9"/>
  <c r="H42" i="8"/>
  <c r="H43" i="8"/>
  <c r="H44" i="8"/>
  <c r="H45" i="8"/>
  <c r="H71" i="8"/>
  <c r="H74" i="8"/>
  <c r="H82" i="8"/>
  <c r="H81" i="8"/>
  <c r="H2" i="9"/>
  <c r="H11" i="9"/>
  <c r="I45" i="8"/>
  <c r="I59" i="8"/>
  <c r="I71" i="8"/>
  <c r="I82" i="8"/>
  <c r="J45" i="8"/>
  <c r="J53" i="8"/>
  <c r="J54" i="8"/>
  <c r="J71" i="8"/>
  <c r="J2" i="9"/>
  <c r="K45" i="8"/>
  <c r="K82" i="8"/>
  <c r="M11" i="9"/>
  <c r="G7" i="8"/>
  <c r="G29" i="8"/>
  <c r="J11" i="9"/>
  <c r="G42" i="8"/>
  <c r="G71" i="8"/>
  <c r="G44" i="8"/>
  <c r="G30" i="8"/>
  <c r="F30" i="8"/>
  <c r="E30" i="8"/>
  <c r="D30" i="8"/>
  <c r="F71" i="8"/>
  <c r="F73" i="8"/>
  <c r="D42" i="8"/>
  <c r="E42" i="8"/>
  <c r="F42" i="8"/>
  <c r="G37" i="8"/>
  <c r="G28" i="8"/>
  <c r="F39" i="8"/>
  <c r="E39" i="8"/>
  <c r="G22" i="8"/>
  <c r="G45" i="8"/>
  <c r="F22" i="8"/>
  <c r="F45" i="8"/>
  <c r="F64" i="8"/>
  <c r="D39" i="8"/>
  <c r="R34" i="8"/>
  <c r="S34" i="8"/>
  <c r="Q33" i="8"/>
  <c r="R33" i="8"/>
  <c r="S33" i="8"/>
  <c r="Q34" i="8"/>
  <c r="G34" i="8"/>
  <c r="B33" i="8"/>
  <c r="G59" i="8"/>
  <c r="F59" i="8"/>
  <c r="E59" i="8"/>
  <c r="E52" i="8"/>
  <c r="D59" i="8"/>
  <c r="D74" i="8"/>
  <c r="G4" i="7"/>
  <c r="G5" i="7"/>
  <c r="G6" i="7"/>
  <c r="G7" i="7"/>
  <c r="G8" i="7"/>
  <c r="D41" i="8"/>
  <c r="C2" i="9"/>
  <c r="O17" i="6"/>
  <c r="D37" i="8"/>
  <c r="B45" i="8"/>
  <c r="B43" i="8"/>
  <c r="F29" i="6"/>
  <c r="F30" i="6"/>
  <c r="F20" i="6"/>
  <c r="J17" i="6"/>
  <c r="B36" i="1"/>
  <c r="Q74" i="8"/>
  <c r="R74" i="8"/>
  <c r="Q45" i="8"/>
  <c r="R45" i="8"/>
  <c r="S45" i="8"/>
  <c r="Q43" i="8"/>
  <c r="R43" i="8"/>
  <c r="S43" i="8"/>
  <c r="Q41" i="8"/>
  <c r="C15" i="9"/>
  <c r="R41" i="8"/>
  <c r="D15" i="9"/>
  <c r="S41" i="8"/>
  <c r="F15" i="9"/>
  <c r="G15" i="9"/>
  <c r="H15" i="9"/>
  <c r="I15" i="9"/>
  <c r="J15" i="9"/>
  <c r="K15" i="9"/>
  <c r="L15" i="9"/>
  <c r="M15" i="9"/>
  <c r="N15" i="9"/>
  <c r="R39" i="8"/>
  <c r="S39" i="8"/>
  <c r="Q39" i="8"/>
  <c r="R37" i="8"/>
  <c r="S37" i="8"/>
  <c r="R35" i="8"/>
  <c r="S35" i="8"/>
  <c r="Q35" i="8"/>
  <c r="J19" i="6"/>
  <c r="M74" i="8"/>
  <c r="N74" i="8"/>
  <c r="O74" i="8"/>
  <c r="E35" i="8"/>
  <c r="F35" i="8"/>
  <c r="G35" i="8"/>
  <c r="D35" i="8"/>
  <c r="E43" i="8"/>
  <c r="F43" i="8"/>
  <c r="E45" i="8"/>
  <c r="L45" i="8"/>
  <c r="M45" i="8"/>
  <c r="N45" i="8"/>
  <c r="O45" i="8"/>
  <c r="D43" i="8"/>
  <c r="D45" i="8"/>
  <c r="E41" i="8"/>
  <c r="D2" i="9"/>
  <c r="F41" i="8"/>
  <c r="E2" i="9"/>
  <c r="G41" i="8"/>
  <c r="F2" i="9"/>
  <c r="L2" i="9"/>
  <c r="M2" i="9"/>
  <c r="N2" i="9"/>
  <c r="G39" i="8"/>
  <c r="E37" i="8"/>
  <c r="F37" i="8"/>
  <c r="D26" i="8"/>
  <c r="D23" i="8"/>
  <c r="C11" i="9"/>
  <c r="E23" i="8"/>
  <c r="D11" i="9"/>
  <c r="K11" i="9"/>
  <c r="L11" i="9"/>
  <c r="N11" i="9"/>
  <c r="Q23" i="8"/>
  <c r="C24" i="9"/>
  <c r="R23" i="8"/>
  <c r="D24" i="9"/>
  <c r="S23" i="8"/>
  <c r="E24" i="9"/>
  <c r="F24" i="9"/>
  <c r="G24" i="9"/>
  <c r="H24" i="9"/>
  <c r="I24" i="9"/>
  <c r="J24" i="9"/>
  <c r="K24" i="9"/>
  <c r="L24" i="9"/>
  <c r="M24" i="9"/>
  <c r="N24" i="9"/>
  <c r="E26" i="8"/>
  <c r="F26" i="8"/>
  <c r="G26" i="8"/>
  <c r="Q26" i="8"/>
  <c r="R26" i="8"/>
  <c r="S26" i="8"/>
  <c r="D27" i="8"/>
  <c r="E27" i="8"/>
  <c r="F27" i="8"/>
  <c r="G27" i="8"/>
  <c r="Q27" i="8"/>
  <c r="R27" i="8"/>
  <c r="S27" i="8"/>
  <c r="D28" i="8"/>
  <c r="E28" i="8"/>
  <c r="F28" i="8"/>
  <c r="Q28" i="8"/>
  <c r="R28" i="8"/>
  <c r="D29" i="8"/>
  <c r="E29" i="8"/>
  <c r="F29" i="8"/>
  <c r="Q29" i="8"/>
  <c r="R29" i="8"/>
  <c r="S29" i="8"/>
  <c r="D32" i="8"/>
  <c r="E32" i="8"/>
  <c r="F32" i="8"/>
  <c r="G32" i="8"/>
  <c r="Q32" i="8"/>
  <c r="R32" i="8"/>
  <c r="S32" i="8"/>
  <c r="D33" i="8"/>
  <c r="E33" i="8"/>
  <c r="F33" i="8"/>
  <c r="G33" i="8"/>
  <c r="B56" i="1"/>
  <c r="C53" i="1"/>
  <c r="C54" i="1"/>
  <c r="C55" i="1"/>
  <c r="C52" i="1"/>
  <c r="C56" i="1"/>
  <c r="B47" i="1"/>
  <c r="C47" i="1"/>
  <c r="B46" i="1"/>
  <c r="B44" i="1"/>
  <c r="C44" i="1"/>
  <c r="B45" i="1"/>
  <c r="C45" i="1"/>
  <c r="C46" i="1"/>
  <c r="B35" i="1"/>
  <c r="B34" i="1"/>
  <c r="B39" i="1"/>
  <c r="C39" i="1"/>
  <c r="B38" i="1"/>
  <c r="C38" i="1"/>
  <c r="C37" i="1"/>
  <c r="C36" i="1"/>
  <c r="C35" i="1"/>
  <c r="C26" i="1"/>
  <c r="B28" i="1"/>
  <c r="B30" i="1"/>
  <c r="C30" i="1"/>
  <c r="B29" i="1"/>
  <c r="C29" i="1"/>
  <c r="B27" i="1"/>
  <c r="C27" i="1"/>
  <c r="B26" i="1"/>
  <c r="B25" i="1"/>
  <c r="C25" i="1"/>
  <c r="F19" i="6"/>
  <c r="F18" i="6"/>
  <c r="Q36" i="8"/>
  <c r="R36" i="8"/>
  <c r="S36" i="8"/>
  <c r="E36" i="8"/>
  <c r="F36" i="8"/>
  <c r="G36" i="8"/>
  <c r="D36" i="8"/>
  <c r="F17" i="6"/>
  <c r="F16" i="6"/>
  <c r="F15" i="6"/>
  <c r="F14" i="6"/>
  <c r="F13" i="6"/>
  <c r="F12" i="6"/>
  <c r="G3" i="7"/>
  <c r="G2" i="7"/>
  <c r="E2" i="7"/>
  <c r="F11" i="6"/>
  <c r="F10" i="6"/>
  <c r="F3" i="6"/>
  <c r="F4" i="6"/>
  <c r="F5" i="6"/>
  <c r="F6" i="6"/>
  <c r="F7" i="6"/>
  <c r="F8" i="6"/>
  <c r="F9" i="6"/>
  <c r="F2" i="6"/>
  <c r="A3" i="6"/>
  <c r="A4" i="6"/>
  <c r="A5" i="6"/>
  <c r="A6" i="6"/>
  <c r="A7" i="6"/>
  <c r="A8" i="6"/>
  <c r="A9" i="6"/>
  <c r="L17" i="6"/>
  <c r="L18" i="6"/>
  <c r="K18" i="6"/>
  <c r="K17" i="6"/>
  <c r="C48" i="1"/>
  <c r="B40" i="1"/>
  <c r="C34" i="1"/>
  <c r="C40" i="1"/>
  <c r="B48" i="1"/>
  <c r="B31" i="1"/>
  <c r="C28" i="1"/>
  <c r="C31" i="1"/>
  <c r="I2" i="9"/>
  <c r="I11" i="9"/>
  <c r="E15" i="9"/>
  <c r="I74" i="8"/>
  <c r="J74" i="8"/>
  <c r="G38" i="8"/>
  <c r="G85" i="8"/>
  <c r="R38" i="8"/>
  <c r="M85" i="8"/>
  <c r="Q76" i="8"/>
  <c r="Q80" i="8"/>
  <c r="H23" i="8"/>
  <c r="G11" i="9"/>
  <c r="N47" i="8"/>
  <c r="N76" i="8"/>
  <c r="N80" i="8"/>
  <c r="E38" i="8"/>
  <c r="E47" i="8"/>
  <c r="J47" i="8"/>
  <c r="J76" i="8"/>
  <c r="J80" i="8"/>
  <c r="F38" i="8"/>
  <c r="F47" i="8"/>
  <c r="L47" i="8"/>
  <c r="L76" i="8"/>
  <c r="L80" i="8"/>
  <c r="S38" i="8"/>
  <c r="S47" i="8"/>
  <c r="S76" i="8"/>
  <c r="S80" i="8"/>
  <c r="O81" i="8"/>
  <c r="F23" i="8"/>
  <c r="E11" i="9"/>
  <c r="L85" i="8"/>
  <c r="M47" i="8"/>
  <c r="M76" i="8"/>
  <c r="M80" i="8"/>
  <c r="K47" i="8"/>
  <c r="K76" i="8"/>
  <c r="K80" i="8"/>
  <c r="K85" i="8"/>
  <c r="L81" i="8"/>
  <c r="N81" i="8"/>
  <c r="J85" i="8"/>
  <c r="K81" i="8"/>
  <c r="G23" i="8"/>
  <c r="F11" i="9"/>
  <c r="H47" i="8"/>
  <c r="H76" i="8"/>
  <c r="H80" i="8"/>
  <c r="E74" i="8"/>
  <c r="F74" i="8"/>
  <c r="O47" i="8"/>
  <c r="O76" i="8"/>
  <c r="O80" i="8"/>
  <c r="I85" i="8"/>
  <c r="J81" i="8"/>
  <c r="R47" i="8"/>
  <c r="R76" i="8"/>
  <c r="R80" i="8"/>
  <c r="D47" i="8"/>
  <c r="D76" i="8"/>
  <c r="D80" i="8"/>
  <c r="D86" i="8"/>
  <c r="E79" i="8"/>
  <c r="G47" i="8"/>
  <c r="H85" i="8"/>
  <c r="I81" i="8"/>
  <c r="M81" i="8"/>
  <c r="G74" i="8"/>
  <c r="H86" i="8"/>
  <c r="I79" i="8"/>
  <c r="I47" i="8"/>
  <c r="I76" i="8"/>
  <c r="I80" i="8"/>
  <c r="H4" i="9"/>
  <c r="C4" i="9"/>
  <c r="C9" i="9"/>
  <c r="D7" i="9"/>
  <c r="E76" i="8"/>
  <c r="E80" i="8"/>
  <c r="F76" i="8"/>
  <c r="F80" i="8"/>
  <c r="G76" i="8"/>
  <c r="G80" i="8"/>
  <c r="G4" i="9"/>
  <c r="I86" i="8"/>
  <c r="J79" i="8"/>
  <c r="I4" i="9"/>
  <c r="E86" i="8"/>
  <c r="F79" i="8"/>
  <c r="D4" i="9"/>
  <c r="D9" i="9"/>
  <c r="E7" i="9"/>
  <c r="J86" i="8"/>
  <c r="K79" i="8"/>
  <c r="K86" i="8"/>
  <c r="L79" i="8"/>
  <c r="F86" i="8"/>
  <c r="G79" i="8"/>
  <c r="F4" i="9"/>
  <c r="E4" i="9"/>
  <c r="E9" i="9"/>
  <c r="F7" i="9"/>
  <c r="F9" i="9"/>
  <c r="G7" i="9"/>
  <c r="G9" i="9"/>
  <c r="H7" i="9"/>
  <c r="H9" i="9"/>
  <c r="I7" i="9"/>
  <c r="I9" i="9"/>
  <c r="J7" i="9"/>
  <c r="J4" i="9"/>
  <c r="L86" i="8"/>
  <c r="M79" i="8"/>
  <c r="M86" i="8"/>
  <c r="K4" i="9"/>
  <c r="J9" i="9"/>
  <c r="K7" i="9"/>
  <c r="K9" i="9"/>
  <c r="L7" i="9"/>
  <c r="L4" i="9"/>
  <c r="N79" i="8"/>
  <c r="L9" i="9"/>
  <c r="M7" i="9"/>
  <c r="M4" i="9"/>
  <c r="O79" i="8"/>
  <c r="O86" i="8"/>
  <c r="M9" i="9"/>
  <c r="N7" i="9"/>
  <c r="N4" i="9"/>
  <c r="N9" i="9"/>
  <c r="C20" i="9"/>
  <c r="Q79" i="8"/>
  <c r="Q86" i="8"/>
  <c r="R79" i="8"/>
  <c r="R86" i="8"/>
  <c r="R96" i="8"/>
  <c r="C17" i="9"/>
  <c r="C22" i="9"/>
  <c r="D20" i="9"/>
  <c r="D17" i="9"/>
  <c r="D22" i="9"/>
  <c r="E20" i="9"/>
  <c r="S79" i="8"/>
  <c r="S86" i="8"/>
  <c r="E17" i="9"/>
  <c r="E22" i="9"/>
  <c r="F20" i="9"/>
  <c r="F17" i="9"/>
  <c r="F22" i="9"/>
  <c r="G20" i="9"/>
  <c r="G17" i="9"/>
  <c r="G22" i="9"/>
  <c r="H20" i="9"/>
  <c r="H17" i="9"/>
  <c r="H22" i="9"/>
  <c r="I20" i="9"/>
  <c r="I17" i="9"/>
  <c r="I22" i="9"/>
  <c r="J20" i="9"/>
  <c r="J17" i="9"/>
  <c r="J22" i="9"/>
  <c r="K20" i="9"/>
  <c r="K17" i="9"/>
  <c r="K22" i="9"/>
  <c r="L20" i="9"/>
  <c r="L17" i="9"/>
  <c r="L22" i="9"/>
  <c r="M20" i="9"/>
  <c r="M17" i="9"/>
  <c r="M22" i="9"/>
  <c r="N20" i="9"/>
  <c r="N17" i="9"/>
  <c r="N22" i="9"/>
  <c r="C14" i="14"/>
  <c r="I27" i="14" l="1"/>
  <c r="E40" i="14"/>
  <c r="E56" i="14" s="1"/>
  <c r="G40" i="14"/>
  <c r="G56" i="14" s="1"/>
  <c r="H40" i="14"/>
  <c r="I40" i="14"/>
  <c r="I56" i="14" s="1"/>
  <c r="L40" i="14"/>
  <c r="L56" i="14" s="1"/>
  <c r="D40" i="14"/>
  <c r="D56" i="14" s="1"/>
  <c r="M40" i="14"/>
  <c r="M56" i="14" s="1"/>
  <c r="C40" i="14"/>
  <c r="C56" i="14" s="1"/>
  <c r="F40" i="14"/>
  <c r="F56" i="14" s="1"/>
  <c r="J27" i="14"/>
  <c r="N40" i="14"/>
  <c r="N56" i="14" s="1"/>
  <c r="K40" i="14"/>
  <c r="K56" i="14" s="1"/>
  <c r="N27" i="14"/>
  <c r="H27" i="14"/>
  <c r="F27" i="14"/>
  <c r="J40" i="14"/>
  <c r="J56" i="14" s="1"/>
  <c r="H56" i="14"/>
  <c r="L27" i="14"/>
  <c r="C27" i="14"/>
  <c r="K27" i="14"/>
  <c r="D27" i="14"/>
  <c r="M27" i="14"/>
  <c r="G27" i="14"/>
  <c r="E27" i="14"/>
  <c r="M58" i="14" l="1"/>
  <c r="L58" i="14"/>
  <c r="I63" i="14"/>
  <c r="G58" i="14"/>
  <c r="J63" i="14"/>
  <c r="F63" i="14"/>
  <c r="G63" i="14"/>
  <c r="I58" i="14"/>
  <c r="E58" i="14"/>
  <c r="K63" i="14"/>
  <c r="D63" i="14"/>
  <c r="H63" i="14"/>
  <c r="M63" i="14"/>
  <c r="K58" i="14"/>
  <c r="H58" i="14"/>
  <c r="F58" i="14"/>
  <c r="N63" i="14"/>
  <c r="L63" i="14"/>
  <c r="D58" i="14"/>
  <c r="E63" i="14"/>
  <c r="C63" i="14"/>
  <c r="C70" i="14" s="1"/>
  <c r="D61" i="14" s="1"/>
  <c r="D70" i="14" s="1"/>
  <c r="E61" i="14" s="1"/>
  <c r="C58" i="14"/>
  <c r="J58" i="14"/>
  <c r="N58" i="14"/>
  <c r="E70" i="14" l="1"/>
  <c r="F61" i="14" s="1"/>
  <c r="F70" i="14" l="1"/>
  <c r="G61" i="14" s="1"/>
  <c r="G70" i="14" l="1"/>
  <c r="H61" i="14" s="1"/>
  <c r="H70" i="14" l="1"/>
  <c r="I61" i="14" s="1"/>
  <c r="I70" i="14" l="1"/>
  <c r="J61" i="14" s="1"/>
  <c r="J70" i="14" l="1"/>
  <c r="K61" i="14" s="1"/>
  <c r="K70" i="14" l="1"/>
  <c r="L61" i="14" s="1"/>
  <c r="L70" i="14" l="1"/>
  <c r="M61" i="14" s="1"/>
  <c r="M70" i="14" l="1"/>
  <c r="N61" i="14" l="1"/>
  <c r="N7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Claire Forth</author>
    <author>Steve Forth</author>
    <author>tc={F550FA3F-B9C2-1E49-8569-78A89B536A3C}</author>
  </authors>
  <commentList>
    <comment ref="K4" authorId="0" shapeId="0" xr:uid="{A4107EB8-6898-4ABA-8845-447C9E7EFB6D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Sky4Pilot</t>
        </r>
      </text>
    </comment>
    <comment ref="L4" authorId="0" shapeId="0" xr:uid="{0C744E84-CEF8-4A2D-9E4A-B1FA2A63CA6F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Sky4Pilot</t>
        </r>
      </text>
    </comment>
    <comment ref="M4" authorId="0" shapeId="0" xr:uid="{0582A5BA-82FE-4FD3-9059-A7AE455C57A6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Sky4Pilot</t>
        </r>
      </text>
    </comment>
    <comment ref="N4" authorId="1" shapeId="0" xr:uid="{68F45593-4183-4AFE-9390-E76A74F4944C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kilted fudge first month</t>
        </r>
      </text>
    </comment>
    <comment ref="G6" authorId="0" shapeId="0" xr:uid="{34C711FE-73B7-40B0-847F-F11DE13A5FA8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MW - Quoting</t>
        </r>
      </text>
    </comment>
    <comment ref="G7" authorId="0" shapeId="0" xr:uid="{07CC52CE-F433-46AF-803F-4FCADB558B63}">
      <text>
        <r>
          <rPr>
            <sz val="11"/>
            <color theme="1"/>
            <rFont val="Calibri"/>
            <family val="2"/>
            <scheme val="minor"/>
          </rPr>
          <t>Claire Forth:
Gouldsmith &amp; PP</t>
        </r>
      </text>
    </comment>
    <comment ref="Q7" authorId="1" shapeId="0" xr:uid="{CD6DE197-0417-4E32-9724-4F93DC8807DC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Little Bay </t>
        </r>
      </text>
    </comment>
    <comment ref="G12" authorId="0" shapeId="0" xr:uid="{C72518C6-AE69-424A-8551-8809583FDCEF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3 = cost of payroll for FEMCO quoting</t>
        </r>
      </text>
    </comment>
    <comment ref="O14" authorId="1" shapeId="0" xr:uid="{74AF8C30-250E-471E-A08A-B8F8C14CADCB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T Fennell
</t>
        </r>
      </text>
    </comment>
    <comment ref="Q14" authorId="1" shapeId="0" xr:uid="{331BF55C-BCAF-4D19-A87F-5E554CDF3ADD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T Fennel
</t>
        </r>
      </text>
    </comment>
    <comment ref="E16" authorId="0" shapeId="0" xr:uid="{062AFC36-309A-4017-BAA8-B3CE9B3D78D3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B Rainbow
</t>
        </r>
      </text>
    </comment>
    <comment ref="H16" authorId="0" shapeId="0" xr:uid="{74E9663E-554D-495D-BB79-D457BF51DB56}">
      <text>
        <r>
          <rPr>
            <sz val="11"/>
            <color theme="1"/>
            <rFont val="Calibri"/>
            <family val="2"/>
            <scheme val="minor"/>
          </rPr>
          <t xml:space="preserve">Treswithian Barns
kristy
Berry.Salisbury
</t>
        </r>
      </text>
    </comment>
    <comment ref="I16" authorId="0" shapeId="0" xr:uid="{B6B52CB5-8CA1-4691-9B90-B9285F8E70F4}">
      <text>
        <r>
          <rPr>
            <sz val="11"/>
            <color theme="1"/>
            <rFont val="Calibri"/>
            <family val="2"/>
            <scheme val="minor"/>
          </rPr>
          <t xml:space="preserve">kristy
</t>
        </r>
      </text>
    </comment>
    <comment ref="J16" authorId="0" shapeId="0" xr:uid="{AFEE39C6-5260-442A-A536-67DEE5F040C3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Treswithian
Kristy
Stephanie</t>
        </r>
      </text>
    </comment>
    <comment ref="K16" authorId="0" shapeId="0" xr:uid="{338F1D52-28F4-4766-8E8E-79CF3B20442E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Kristy
Emily Duncan Tax forecast</t>
        </r>
      </text>
    </comment>
    <comment ref="L16" authorId="0" shapeId="0" xr:uid="{6F9600AB-3227-4F5E-ADF5-4A12F13A9720}">
      <text>
        <r>
          <rPr>
            <sz val="11"/>
            <color theme="1"/>
            <rFont val="Calibri"/>
            <family val="2"/>
            <scheme val="minor"/>
          </rPr>
          <t>Duncan SA100
Kristy
bluefruit</t>
        </r>
      </text>
    </comment>
    <comment ref="M16" authorId="0" shapeId="0" xr:uid="{EF53897F-AD9F-4E15-B92B-C85077C8AEC8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Matthews SA100 
Jill Rowe
 </t>
        </r>
      </text>
    </comment>
    <comment ref="O16" authorId="1" shapeId="0" xr:uid="{4933F5C3-7960-4C02-87C0-AF4E911B5EB9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Teresa one off
Sapphire
Bluefruit dormant</t>
        </r>
      </text>
    </comment>
    <comment ref="Q16" authorId="1" shapeId="0" xr:uid="{CC7D0C0C-1E36-46D3-B625-150C0DF2734B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Richard Evans
</t>
        </r>
      </text>
    </comment>
    <comment ref="R16" authorId="1" shapeId="0" xr:uid="{9A292ED0-A1F4-4D21-B0F3-5704FFCFB54E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EOT
Lions
Evans Balance
Treswithian
Jiella
</t>
        </r>
      </text>
    </comment>
    <comment ref="S16" authorId="1" shapeId="0" xr:uid="{3052BFE1-313E-4BC3-9443-B5FA8B44AD51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Hilary Carter
VAT Insect Lore</t>
        </r>
      </text>
    </comment>
    <comment ref="N17" authorId="1" shapeId="0" xr:uid="{9DB8851B-5558-4BA4-A780-8902FADC0B59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Parkinson
Rainbow</t>
        </r>
      </text>
    </comment>
    <comment ref="O17" authorId="1" shapeId="0" xr:uid="{560B4A95-7C7A-425B-99D3-8B225EFB9578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Brociner</t>
        </r>
      </text>
    </comment>
    <comment ref="Q17" authorId="1" shapeId="0" xr:uid="{95E23063-9001-44EF-ADEF-9E2279B1ABA5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2 = Anne Hodges
Luca
Ian Curnow
Molyneux
</t>
        </r>
      </text>
    </comment>
    <comment ref="S17" authorId="1" shapeId="0" xr:uid="{C704ADA9-EB5C-4FE9-8DFE-0804E4D8EF6D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Spencer Culley</t>
        </r>
      </text>
    </comment>
    <comment ref="K18" authorId="0" shapeId="0" xr:uid="{4DEF5809-8461-4509-A40E-1655BDE0114A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Matthews
</t>
        </r>
      </text>
    </comment>
    <comment ref="L18" authorId="0" shapeId="0" xr:uid="{C0D5F498-3C60-4162-BC6F-FA3B8BDDB086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Matthews Balance</t>
        </r>
      </text>
    </comment>
    <comment ref="R18" authorId="1" shapeId="0" xr:uid="{EEBBA905-BD73-45FC-A089-D10C36CEC6F2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hodges</t>
        </r>
      </text>
    </comment>
    <comment ref="S18" authorId="1" shapeId="0" xr:uid="{FE196B11-3EE5-46BD-8F14-A493399E0278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Skitt
Hampson
Brooke
Stallard</t>
        </r>
      </text>
    </comment>
    <comment ref="I19" authorId="0" shapeId="0" xr:uid="{C67E7CC3-94D8-4455-86A7-E5EB521A679F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Bluefruit
Jeffcock
</t>
        </r>
      </text>
    </comment>
    <comment ref="K20" authorId="0" shapeId="0" xr:uid="{BECB77A4-E1A6-42A6-9C1E-2E17A34514C8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Manns
Harvey Rd
Squirrell
Sublime
AD Hoc</t>
        </r>
      </text>
    </comment>
    <comment ref="S20" authorId="1" shapeId="0" xr:uid="{B236B3DC-EC03-4E1B-9D0D-2CA6F8EB0BAA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CIC x 1.5
Tim Cole
Ad hoc work
</t>
        </r>
      </text>
    </comment>
    <comment ref="H21" authorId="2" shapeId="0" xr:uid="{F550FA3F-B9C2-1E49-8569-78A89B536A3C}">
      <text>
        <t>[Threaded comment]
Your version of Excel allows you to read this threaded comment; however, any edits to it will get removed if the file is opened in a newer version of Excel. Learn more: https://go.microsoft.com/fwlink/?linkid=870924
Comment:
    bicknells</t>
      </text>
    </comment>
    <comment ref="I21" authorId="0" shapeId="0" xr:uid="{723D7512-CEFA-49C8-8D5F-3A1FFD1B02D7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Humphrey trust finish tedford</t>
        </r>
      </text>
    </comment>
    <comment ref="J21" authorId="0" shapeId="0" xr:uid="{58A9F8F8-3CB6-4CD2-BA3C-A4CA45DF0715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Oxmardyke CIC
Smith Holding Co
Roniger consultancy</t>
        </r>
      </text>
    </comment>
    <comment ref="K21" authorId="0" shapeId="0" xr:uid="{F45FFF62-9C45-4EF8-8603-B54ED2F53E55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IHT100 MaColl
Trust return MaColl 
Bev Ward
Pettifer
</t>
        </r>
      </text>
    </comment>
    <comment ref="L21" authorId="0" shapeId="0" xr:uid="{7B871816-7510-4A8B-9BEC-01AC167DA3F1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smith clearance
Trust works
Khen review
Richardson Review?</t>
        </r>
      </text>
    </comment>
    <comment ref="M21" authorId="0" shapeId="0" xr:uid="{D4D56F82-00E7-4BFD-AB0C-4D17608A6EE2}">
      <text>
        <r>
          <rPr>
            <sz val="11"/>
            <color theme="1"/>
            <rFont val="Calibri"/>
            <family val="2"/>
            <scheme val="minor"/>
          </rPr>
          <t>Hannah Roniger Forecasting
pettifer
VAT 
EIS homes
Trust Returns</t>
        </r>
      </text>
    </comment>
    <comment ref="N21" authorId="1" shapeId="0" xr:uid="{D76FBCD2-9891-4D08-9227-036605CE6AD4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Pettifer, Roniger returns
Hakan
B&amp;B large trust work</t>
        </r>
      </text>
    </comment>
    <comment ref="O21" authorId="1" shapeId="0" xr:uid="{769F9DCD-2C7F-481C-91CA-7F06B031A317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Roniger tax returns</t>
        </r>
      </text>
    </comment>
    <comment ref="Q21" authorId="1" shapeId="0" xr:uid="{B9C435E3-3A1B-4986-B78B-2F76084B8ECA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Challen/Fleming/Hoddinott/Orthner/Pettifer/Manning Morton
</t>
        </r>
      </text>
    </comment>
    <comment ref="R21" authorId="1" shapeId="0" xr:uid="{6E6D076B-94DB-4D8B-BF17-10DBA6A22D0A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B&amp;B</t>
        </r>
      </text>
    </comment>
    <comment ref="S21" authorId="1" shapeId="0" xr:uid="{8937D9D9-92BA-42DE-BECB-E1006FCBBED3}">
      <text>
        <r>
          <rPr>
            <b/>
            <sz val="9"/>
            <color indexed="81"/>
            <rFont val="Tahoma"/>
            <family val="2"/>
          </rPr>
          <t>Steve Forth:</t>
        </r>
        <r>
          <rPr>
            <sz val="9"/>
            <color indexed="81"/>
            <rFont val="Tahoma"/>
            <family val="2"/>
          </rPr>
          <t xml:space="preserve">
Sally Ann
Lee McDermott
B&amp;B
Laura Thompson
Ad hoc</t>
        </r>
      </text>
    </comment>
    <comment ref="F22" authorId="0" shapeId="0" xr:uid="{4E8EFAAC-AA09-4309-9652-1CE5816DED9A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Prickles &amp; Paws Budgets</t>
        </r>
      </text>
    </comment>
    <comment ref="G22" authorId="0" shapeId="0" xr:uid="{ACFCA026-BDAA-4205-BDA6-E03398FF9BE7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Prickles &amp; Paws Gift Aid</t>
        </r>
      </text>
    </comment>
    <comment ref="H22" authorId="0" shapeId="0" xr:uid="{C88AA8D8-D108-434F-8BC1-6F7F4F114759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Simon Powell Trust advice</t>
        </r>
      </text>
    </comment>
    <comment ref="F71" authorId="0" shapeId="0" xr:uid="{A8BB268F-4348-4E66-8779-CE3AC0A9F0AE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Printer
</t>
        </r>
      </text>
    </comment>
    <comment ref="G71" authorId="0" shapeId="0" xr:uid="{9978EE90-1BC0-4F8C-9868-91E637F7EB67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AML Training &amp; post offce
</t>
        </r>
      </text>
    </comment>
    <comment ref="E73" authorId="0" shapeId="0" xr:uid="{494FD6A3-864F-4BB7-BA46-9E0FB9B2F460}">
      <text>
        <r>
          <rPr>
            <b/>
            <sz val="9"/>
            <color indexed="81"/>
            <rFont val="Tahoma"/>
            <family val="2"/>
          </rPr>
          <t>Claire Forth:</t>
        </r>
        <r>
          <rPr>
            <sz val="9"/>
            <color indexed="81"/>
            <rFont val="Tahoma"/>
            <family val="2"/>
          </rPr>
          <t xml:space="preserve">
CIMA Conference
</t>
        </r>
      </text>
    </comment>
  </commentList>
</comments>
</file>

<file path=xl/sharedStrings.xml><?xml version="1.0" encoding="utf-8"?>
<sst xmlns="http://schemas.openxmlformats.org/spreadsheetml/2006/main" count="382" uniqueCount="209">
  <si>
    <t>Hourly Charge Rates</t>
  </si>
  <si>
    <t>B to C</t>
  </si>
  <si>
    <t>B to B</t>
  </si>
  <si>
    <t>£</t>
  </si>
  <si>
    <t>Bookkeeper</t>
  </si>
  <si>
    <t>Accounts Production</t>
  </si>
  <si>
    <t>Tax returns</t>
  </si>
  <si>
    <t>Tax advice</t>
  </si>
  <si>
    <t>Consultancy/FC</t>
  </si>
  <si>
    <t>Services</t>
  </si>
  <si>
    <t>Annual Fees</t>
  </si>
  <si>
    <t>Consultancy/FD (monthly)</t>
  </si>
  <si>
    <t>Full Service</t>
  </si>
  <si>
    <t>Medium business accounts &amp; tax</t>
  </si>
  <si>
    <t>Local Small Business accounta &amp; tax</t>
  </si>
  <si>
    <t>Add quarterly VAT</t>
  </si>
  <si>
    <t>Add payroll</t>
  </si>
  <si>
    <t>no set up costs for existing</t>
  </si>
  <si>
    <t>Stand alone payroll</t>
  </si>
  <si>
    <t>Stand alone payroll set up</t>
  </si>
  <si>
    <t>Self Employed accounts &amp; tax</t>
  </si>
  <si>
    <t>IHT Review</t>
  </si>
  <si>
    <t>Detailed IHT Planning &amp; Advice</t>
  </si>
  <si>
    <t>Hours</t>
  </si>
  <si>
    <t>Value £</t>
  </si>
  <si>
    <t>Full Service (SME) &gt; £200k</t>
  </si>
  <si>
    <t>Monthly Management Accounts</t>
  </si>
  <si>
    <t>Monthly meeting with MD</t>
  </si>
  <si>
    <t>VAT Returns</t>
  </si>
  <si>
    <t>Tax Advice (10 hrs p.a)
employees, directors, owner</t>
  </si>
  <si>
    <t>Annual Accounts</t>
  </si>
  <si>
    <t xml:space="preserve">Tax return </t>
  </si>
  <si>
    <t>Medium Service T/O &gt; £85k &lt; £200k</t>
  </si>
  <si>
    <t>Quarterly Management Accounts</t>
  </si>
  <si>
    <t>Quarterly meeting with MD</t>
  </si>
  <si>
    <t>VAT returns</t>
  </si>
  <si>
    <t>Tax Advice (5 hrs p.a)
employees, directors, owner</t>
  </si>
  <si>
    <t>Small Service &lt; £85k</t>
  </si>
  <si>
    <t>Initial Meeting</t>
  </si>
  <si>
    <t>Notes letter potential issues</t>
  </si>
  <si>
    <t>Full meeting</t>
  </si>
  <si>
    <t>Proposal</t>
  </si>
  <si>
    <t>Presentation</t>
  </si>
  <si>
    <t>Target clients yr 1</t>
  </si>
  <si>
    <t>Target clients yr 2</t>
  </si>
  <si>
    <t>Total £</t>
  </si>
  <si>
    <t>Ad hoc filing</t>
  </si>
  <si>
    <t>Hourly rate accounts/tax mip</t>
  </si>
  <si>
    <t>Hourly rate tax consultancy mip</t>
  </si>
  <si>
    <t>Client Numbers</t>
  </si>
  <si>
    <t>Fee P.A</t>
  </si>
  <si>
    <t>DD Payments</t>
  </si>
  <si>
    <t xml:space="preserve">Bray </t>
  </si>
  <si>
    <t xml:space="preserve">OR Payroll </t>
  </si>
  <si>
    <t>pcm</t>
  </si>
  <si>
    <t>MH &amp; OR Accounts</t>
  </si>
  <si>
    <t xml:space="preserve">Hilary </t>
  </si>
  <si>
    <t>yes</t>
  </si>
  <si>
    <t>Insect Lore VAT</t>
  </si>
  <si>
    <t>next month</t>
  </si>
  <si>
    <t>Small Tax Return</t>
  </si>
  <si>
    <t xml:space="preserve">Hampson </t>
  </si>
  <si>
    <t xml:space="preserve">Brooke </t>
  </si>
  <si>
    <t>Yes</t>
  </si>
  <si>
    <t>Skitt</t>
  </si>
  <si>
    <t>Hourly rate accounts/tax mip (full fee)</t>
  </si>
  <si>
    <t>Hourly rate accounts.BER (split fee)</t>
  </si>
  <si>
    <t>Hourly rate tax mip BER</t>
  </si>
  <si>
    <t>Cash Value in Month</t>
  </si>
  <si>
    <t>Bray</t>
  </si>
  <si>
    <t>New Helen Morgan</t>
  </si>
  <si>
    <t>Hourly rate accounts mip BER</t>
  </si>
  <si>
    <t>Hourly rate tax mip Bicknells</t>
  </si>
  <si>
    <t>Other</t>
  </si>
  <si>
    <t>Totals</t>
  </si>
  <si>
    <t>Outgoings</t>
  </si>
  <si>
    <t>Microsoft</t>
  </si>
  <si>
    <t>Mobile</t>
  </si>
  <si>
    <t>Website</t>
  </si>
  <si>
    <t>SEO</t>
  </si>
  <si>
    <t>Lead Generation</t>
  </si>
  <si>
    <t>Zoom</t>
  </si>
  <si>
    <t>Vehicle costs</t>
  </si>
  <si>
    <t>Xero</t>
  </si>
  <si>
    <t>Taxfiler</t>
  </si>
  <si>
    <t>Taxfiler Practice Management</t>
  </si>
  <si>
    <t xml:space="preserve">AML Check </t>
  </si>
  <si>
    <t>Trello</t>
  </si>
  <si>
    <t>Adobe</t>
  </si>
  <si>
    <t>BrightPay</t>
  </si>
  <si>
    <t>Float then gap then Monday.com</t>
  </si>
  <si>
    <t>Insurance</t>
  </si>
  <si>
    <t>Health Insurance</t>
  </si>
  <si>
    <t>Inform Direct</t>
  </si>
  <si>
    <t>YP Membership</t>
  </si>
  <si>
    <t xml:space="preserve">Intern/help/outsourcing </t>
  </si>
  <si>
    <t>Training</t>
  </si>
  <si>
    <t>CIMA/CTA</t>
  </si>
  <si>
    <t xml:space="preserve">Total </t>
  </si>
  <si>
    <t>Net Income</t>
  </si>
  <si>
    <t>Cash Flows</t>
  </si>
  <si>
    <t>Opening Balance</t>
  </si>
  <si>
    <t>From Debtors</t>
  </si>
  <si>
    <t>Director Salary</t>
  </si>
  <si>
    <t>Car</t>
  </si>
  <si>
    <t xml:space="preserve">Tax </t>
  </si>
  <si>
    <t>Into Debtors</t>
  </si>
  <si>
    <t>Closing Balance</t>
  </si>
  <si>
    <t>Claire To draw account</t>
  </si>
  <si>
    <t>Tax Saved</t>
  </si>
  <si>
    <t>Car to pay to Steve</t>
  </si>
  <si>
    <t>Proposed</t>
  </si>
  <si>
    <t>Won</t>
  </si>
  <si>
    <t>Invoiced</t>
  </si>
  <si>
    <t>Nov income =</t>
  </si>
  <si>
    <t>Drawings Dec and Jan</t>
  </si>
  <si>
    <t xml:space="preserve">Outgoings Dec </t>
  </si>
  <si>
    <t>CAR and TAX Nov, Dec, Jan</t>
  </si>
  <si>
    <t xml:space="preserve">Dec income = </t>
  </si>
  <si>
    <t>Feb drawings, car , tax</t>
  </si>
  <si>
    <t>Jan income =</t>
  </si>
  <si>
    <t>March drawings, car, tax</t>
  </si>
  <si>
    <t>Feb outgoings</t>
  </si>
  <si>
    <t>Software</t>
  </si>
  <si>
    <t>Loom</t>
  </si>
  <si>
    <t>Advertising/Marketing</t>
  </si>
  <si>
    <t>Overheads</t>
  </si>
  <si>
    <t>Wages</t>
  </si>
  <si>
    <t>PAYE</t>
  </si>
  <si>
    <t>Rent</t>
  </si>
  <si>
    <t>H&amp;S</t>
  </si>
  <si>
    <t xml:space="preserve">Capital </t>
  </si>
  <si>
    <t>Professional Membership</t>
  </si>
  <si>
    <t>CIMA</t>
  </si>
  <si>
    <t>VAT</t>
  </si>
  <si>
    <t>Reserves</t>
  </si>
  <si>
    <t>Yr1</t>
  </si>
  <si>
    <t>Income</t>
  </si>
  <si>
    <t>Out</t>
  </si>
  <si>
    <t>Closing balance</t>
  </si>
  <si>
    <t>Yr2</t>
  </si>
  <si>
    <t>Date</t>
  </si>
  <si>
    <t>Name</t>
  </si>
  <si>
    <t>Type</t>
  </si>
  <si>
    <t>Net</t>
  </si>
  <si>
    <t>Vat</t>
  </si>
  <si>
    <t>Gross</t>
  </si>
  <si>
    <t xml:space="preserve">Bank </t>
  </si>
  <si>
    <t>Software Subscription</t>
  </si>
  <si>
    <t>Claire Pers</t>
  </si>
  <si>
    <t>on</t>
  </si>
  <si>
    <t>Starling</t>
  </si>
  <si>
    <t>1st Formations</t>
  </si>
  <si>
    <t>Company LLp Set up</t>
  </si>
  <si>
    <t>GoDaddy</t>
  </si>
  <si>
    <t>Website hosting/email</t>
  </si>
  <si>
    <t>Gov.UK</t>
  </si>
  <si>
    <t>DBS Check</t>
  </si>
  <si>
    <t>Smashlogo</t>
  </si>
  <si>
    <t>Branding</t>
  </si>
  <si>
    <t xml:space="preserve">Office Furniture </t>
  </si>
  <si>
    <t>Mesh Adj Chair</t>
  </si>
  <si>
    <t>FA</t>
  </si>
  <si>
    <t>CCL Online</t>
  </si>
  <si>
    <t>Computer Screen and keyboard</t>
  </si>
  <si>
    <t>Amazon</t>
  </si>
  <si>
    <t>White Board</t>
  </si>
  <si>
    <t>Currys</t>
  </si>
  <si>
    <t>Lenovo Laptop</t>
  </si>
  <si>
    <t>Claire pers</t>
  </si>
  <si>
    <t>Partner Loan Account</t>
  </si>
  <si>
    <t>Simply Business</t>
  </si>
  <si>
    <t>Professional Indemnity</t>
  </si>
  <si>
    <t>MiP Fee</t>
  </si>
  <si>
    <t>CIOT</t>
  </si>
  <si>
    <t>Practicemark</t>
  </si>
  <si>
    <t>ME</t>
  </si>
  <si>
    <t>Event CIOT</t>
  </si>
  <si>
    <t>SF</t>
  </si>
  <si>
    <t>Tesoc Mobile</t>
  </si>
  <si>
    <t>Docking Station</t>
  </si>
  <si>
    <t>Webcam</t>
  </si>
  <si>
    <t>CIMA Annual fees</t>
  </si>
  <si>
    <t>CTA Annual fees</t>
  </si>
  <si>
    <t>Scanner Software</t>
  </si>
  <si>
    <t xml:space="preserve">From </t>
  </si>
  <si>
    <t>To</t>
  </si>
  <si>
    <t>Client</t>
  </si>
  <si>
    <t>Total Miles</t>
  </si>
  <si>
    <t>Pay Rate</t>
  </si>
  <si>
    <t>Home</t>
  </si>
  <si>
    <t>20 Killigrew Gardens</t>
  </si>
  <si>
    <t>Spinks</t>
  </si>
  <si>
    <t xml:space="preserve">Home </t>
  </si>
  <si>
    <t>Hicks Mill</t>
  </si>
  <si>
    <t>Falmouth</t>
  </si>
  <si>
    <t>TJP</t>
  </si>
  <si>
    <t xml:space="preserve">Falmouth </t>
  </si>
  <si>
    <t xml:space="preserve">Net Income </t>
  </si>
  <si>
    <t>Loan</t>
  </si>
  <si>
    <t>Services/Product</t>
  </si>
  <si>
    <t xml:space="preserve">Value of Services Product </t>
  </si>
  <si>
    <t>Membership</t>
  </si>
  <si>
    <t>Coaching</t>
  </si>
  <si>
    <t>Pension</t>
  </si>
  <si>
    <t>Marketing Concultant</t>
  </si>
  <si>
    <t xml:space="preserve">Other Marketing Costs </t>
  </si>
  <si>
    <t>Director/Owner Salary</t>
  </si>
  <si>
    <t>12 month Cash Flow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</si>
</sst>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7" fontId="0" fillId="0" borderId="0" xfId="0" applyNumberFormat="1"/>
    <xf numFmtId="14" fontId="0" fillId="0" borderId="0" xfId="0" applyNumberFormat="1"/>
    <xf numFmtId="4" fontId="0" fillId="0" borderId="0" xfId="0" applyNumberFormat="1"/>
    <xf numFmtId="17" fontId="1" fillId="0" borderId="0" xfId="0" applyNumberFormat="1" applyFont="1"/>
    <xf numFmtId="0" fontId="1" fillId="0" borderId="1" xfId="0" applyFont="1" applyBorder="1"/>
    <xf numFmtId="0" fontId="0" fillId="0" borderId="2" xfId="0" applyBorder="1"/>
    <xf numFmtId="17" fontId="1" fillId="0" borderId="2" xfId="0" applyNumberFormat="1" applyFont="1" applyBorder="1"/>
    <xf numFmtId="0" fontId="1" fillId="0" borderId="3" xfId="0" applyFont="1" applyBorder="1"/>
    <xf numFmtId="0" fontId="0" fillId="0" borderId="3" xfId="0" applyBorder="1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4" fontId="1" fillId="0" borderId="0" xfId="0" applyNumberFormat="1" applyFont="1"/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4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1" fillId="0" borderId="4" xfId="0" applyNumberFormat="1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1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aire Forth" id="{A343D5EC-AD1C-D145-8525-60198DE0B927}" userId="2261d9553640bddf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1" dT="2023-04-27T22:19:18.84" personId="{A343D5EC-AD1C-D145-8525-60198DE0B927}" id="{F550FA3F-B9C2-1E49-8569-78A89B536A3C}">
    <text>bicknells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7968-91BB-4E03-B71A-8600FD3ECB74}">
  <dimension ref="A1:C56"/>
  <sheetViews>
    <sheetView topLeftCell="A9" workbookViewId="0">
      <selection activeCell="B20" sqref="B20"/>
    </sheetView>
  </sheetViews>
  <sheetFormatPr baseColWidth="10" defaultColWidth="8.83203125" defaultRowHeight="15" x14ac:dyDescent="0.2"/>
  <cols>
    <col min="1" max="1" width="31.5" customWidth="1"/>
    <col min="2" max="2" width="13.6640625" style="3" customWidth="1"/>
    <col min="3" max="3" width="14.6640625" style="3" customWidth="1"/>
    <col min="12" max="12" width="20.33203125" customWidth="1"/>
  </cols>
  <sheetData>
    <row r="1" spans="1:3" x14ac:dyDescent="0.2">
      <c r="A1" s="17" t="s">
        <v>0</v>
      </c>
      <c r="B1" s="4" t="s">
        <v>1</v>
      </c>
      <c r="C1" s="4" t="s">
        <v>2</v>
      </c>
    </row>
    <row r="2" spans="1:3" x14ac:dyDescent="0.2">
      <c r="B2" s="4" t="s">
        <v>3</v>
      </c>
      <c r="C2" s="4" t="s">
        <v>3</v>
      </c>
    </row>
    <row r="3" spans="1:3" x14ac:dyDescent="0.2">
      <c r="A3" t="s">
        <v>4</v>
      </c>
      <c r="B3" s="3">
        <v>50</v>
      </c>
      <c r="C3" s="3">
        <v>0</v>
      </c>
    </row>
    <row r="4" spans="1:3" x14ac:dyDescent="0.2">
      <c r="A4" t="s">
        <v>5</v>
      </c>
      <c r="B4" s="3">
        <v>80</v>
      </c>
      <c r="C4" s="3">
        <v>50</v>
      </c>
    </row>
    <row r="5" spans="1:3" x14ac:dyDescent="0.2">
      <c r="A5" t="s">
        <v>6</v>
      </c>
      <c r="B5" s="3">
        <v>95</v>
      </c>
      <c r="C5" s="3">
        <v>50</v>
      </c>
    </row>
    <row r="6" spans="1:3" x14ac:dyDescent="0.2">
      <c r="A6" t="s">
        <v>7</v>
      </c>
      <c r="B6" s="3">
        <v>110</v>
      </c>
      <c r="C6" s="3">
        <v>75</v>
      </c>
    </row>
    <row r="7" spans="1:3" x14ac:dyDescent="0.2">
      <c r="A7" t="s">
        <v>8</v>
      </c>
      <c r="B7" s="3">
        <v>110</v>
      </c>
      <c r="C7" s="3">
        <v>0</v>
      </c>
    </row>
    <row r="10" spans="1:3" x14ac:dyDescent="0.2">
      <c r="A10" s="17" t="s">
        <v>9</v>
      </c>
      <c r="B10" s="4" t="s">
        <v>10</v>
      </c>
      <c r="C10" s="4"/>
    </row>
    <row r="11" spans="1:3" x14ac:dyDescent="0.2">
      <c r="A11" t="s">
        <v>11</v>
      </c>
      <c r="B11" s="3">
        <v>5000</v>
      </c>
    </row>
    <row r="12" spans="1:3" x14ac:dyDescent="0.2">
      <c r="A12" t="s">
        <v>12</v>
      </c>
      <c r="B12" s="3">
        <v>5000</v>
      </c>
    </row>
    <row r="13" spans="1:3" x14ac:dyDescent="0.2">
      <c r="A13" t="s">
        <v>13</v>
      </c>
      <c r="B13" s="3">
        <v>2800</v>
      </c>
    </row>
    <row r="14" spans="1:3" x14ac:dyDescent="0.2">
      <c r="A14" t="s">
        <v>14</v>
      </c>
      <c r="B14" s="3">
        <v>1500</v>
      </c>
    </row>
    <row r="15" spans="1:3" x14ac:dyDescent="0.2">
      <c r="A15" t="s">
        <v>15</v>
      </c>
    </row>
    <row r="16" spans="1:3" x14ac:dyDescent="0.2">
      <c r="A16" t="s">
        <v>16</v>
      </c>
      <c r="B16" s="3">
        <v>50</v>
      </c>
      <c r="C16" s="18" t="s">
        <v>17</v>
      </c>
    </row>
    <row r="17" spans="1:3" x14ac:dyDescent="0.2">
      <c r="A17" t="s">
        <v>18</v>
      </c>
      <c r="B17" s="3">
        <v>50</v>
      </c>
    </row>
    <row r="18" spans="1:3" x14ac:dyDescent="0.2">
      <c r="A18" t="s">
        <v>19</v>
      </c>
      <c r="B18" s="3">
        <v>200</v>
      </c>
    </row>
    <row r="19" spans="1:3" x14ac:dyDescent="0.2">
      <c r="A19" t="s">
        <v>20</v>
      </c>
      <c r="B19" s="3">
        <v>650</v>
      </c>
    </row>
    <row r="20" spans="1:3" x14ac:dyDescent="0.2">
      <c r="A20" t="s">
        <v>21</v>
      </c>
    </row>
    <row r="21" spans="1:3" x14ac:dyDescent="0.2">
      <c r="A21" t="s">
        <v>22</v>
      </c>
      <c r="B21" s="3">
        <v>1200</v>
      </c>
    </row>
    <row r="23" spans="1:3" x14ac:dyDescent="0.2">
      <c r="B23" s="4" t="s">
        <v>23</v>
      </c>
      <c r="C23" s="4" t="s">
        <v>24</v>
      </c>
    </row>
    <row r="24" spans="1:3" x14ac:dyDescent="0.2">
      <c r="A24" s="17" t="s">
        <v>25</v>
      </c>
    </row>
    <row r="25" spans="1:3" x14ac:dyDescent="0.2">
      <c r="A25" t="s">
        <v>26</v>
      </c>
      <c r="B25" s="3">
        <f>3*12</f>
        <v>36</v>
      </c>
      <c r="C25" s="3">
        <f>B25*$B$4</f>
        <v>2880</v>
      </c>
    </row>
    <row r="26" spans="1:3" x14ac:dyDescent="0.2">
      <c r="A26" t="s">
        <v>27</v>
      </c>
      <c r="B26" s="3">
        <f>1*12</f>
        <v>12</v>
      </c>
      <c r="C26" s="3">
        <f>1*$B$7</f>
        <v>110</v>
      </c>
    </row>
    <row r="27" spans="1:3" x14ac:dyDescent="0.2">
      <c r="A27" t="s">
        <v>28</v>
      </c>
      <c r="B27" s="3">
        <f>4*3</f>
        <v>12</v>
      </c>
      <c r="C27" s="3">
        <f>B27*$B$3</f>
        <v>600</v>
      </c>
    </row>
    <row r="28" spans="1:3" ht="32" x14ac:dyDescent="0.2">
      <c r="A28" s="1" t="s">
        <v>29</v>
      </c>
      <c r="B28" s="3">
        <f>10</f>
        <v>10</v>
      </c>
      <c r="C28" s="3">
        <f>B28*$B$6</f>
        <v>1100</v>
      </c>
    </row>
    <row r="29" spans="1:3" x14ac:dyDescent="0.2">
      <c r="A29" t="s">
        <v>30</v>
      </c>
      <c r="B29" s="3">
        <f>10</f>
        <v>10</v>
      </c>
      <c r="C29" s="3">
        <f>B29*$B$4</f>
        <v>800</v>
      </c>
    </row>
    <row r="30" spans="1:3" x14ac:dyDescent="0.2">
      <c r="A30" t="s">
        <v>31</v>
      </c>
      <c r="B30" s="3">
        <f>5</f>
        <v>5</v>
      </c>
      <c r="C30" s="3">
        <f>B30*$B$5</f>
        <v>475</v>
      </c>
    </row>
    <row r="31" spans="1:3" x14ac:dyDescent="0.2">
      <c r="B31" s="4">
        <f>SUM(B25:B30)</f>
        <v>85</v>
      </c>
      <c r="C31" s="4">
        <f>SUM(C25:C30)</f>
        <v>5965</v>
      </c>
    </row>
    <row r="33" spans="1:3" x14ac:dyDescent="0.2">
      <c r="A33" s="17" t="s">
        <v>32</v>
      </c>
    </row>
    <row r="34" spans="1:3" x14ac:dyDescent="0.2">
      <c r="A34" t="s">
        <v>33</v>
      </c>
      <c r="B34" s="3">
        <f>3*4</f>
        <v>12</v>
      </c>
      <c r="C34" s="3">
        <f>B34*$B$4</f>
        <v>960</v>
      </c>
    </row>
    <row r="35" spans="1:3" x14ac:dyDescent="0.2">
      <c r="A35" t="s">
        <v>34</v>
      </c>
      <c r="B35" s="3">
        <f>1*4</f>
        <v>4</v>
      </c>
      <c r="C35" s="3">
        <f>1*$B$7</f>
        <v>110</v>
      </c>
    </row>
    <row r="36" spans="1:3" x14ac:dyDescent="0.2">
      <c r="A36" t="s">
        <v>35</v>
      </c>
      <c r="B36" s="3">
        <f>3*3</f>
        <v>9</v>
      </c>
      <c r="C36" s="3">
        <f>B36*$B$3</f>
        <v>450</v>
      </c>
    </row>
    <row r="37" spans="1:3" ht="32" x14ac:dyDescent="0.2">
      <c r="A37" s="1" t="s">
        <v>36</v>
      </c>
      <c r="B37" s="3">
        <v>5</v>
      </c>
      <c r="C37" s="3">
        <f>B37*$B$6</f>
        <v>550</v>
      </c>
    </row>
    <row r="38" spans="1:3" x14ac:dyDescent="0.2">
      <c r="A38" t="s">
        <v>30</v>
      </c>
      <c r="B38" s="3">
        <f>10</f>
        <v>10</v>
      </c>
      <c r="C38" s="3">
        <f>B38*$B$4</f>
        <v>800</v>
      </c>
    </row>
    <row r="39" spans="1:3" x14ac:dyDescent="0.2">
      <c r="A39" t="s">
        <v>31</v>
      </c>
      <c r="B39" s="3">
        <f>5</f>
        <v>5</v>
      </c>
      <c r="C39" s="3">
        <f>B39*$B$5</f>
        <v>475</v>
      </c>
    </row>
    <row r="40" spans="1:3" x14ac:dyDescent="0.2">
      <c r="B40" s="4">
        <f>SUM(B34:B39)</f>
        <v>45</v>
      </c>
      <c r="C40" s="4">
        <f>SUM(C34:C39)</f>
        <v>3345</v>
      </c>
    </row>
    <row r="43" spans="1:3" x14ac:dyDescent="0.2">
      <c r="A43" s="17" t="s">
        <v>37</v>
      </c>
    </row>
    <row r="44" spans="1:3" x14ac:dyDescent="0.2">
      <c r="A44" t="s">
        <v>33</v>
      </c>
      <c r="B44" s="3">
        <f>2*4</f>
        <v>8</v>
      </c>
      <c r="C44" s="3">
        <f>B44*$B$4</f>
        <v>640</v>
      </c>
    </row>
    <row r="45" spans="1:3" x14ac:dyDescent="0.2">
      <c r="A45" t="s">
        <v>34</v>
      </c>
      <c r="B45" s="3">
        <f>1*4</f>
        <v>4</v>
      </c>
      <c r="C45" s="3">
        <f>1*$B$7</f>
        <v>110</v>
      </c>
    </row>
    <row r="46" spans="1:3" x14ac:dyDescent="0.2">
      <c r="A46" t="s">
        <v>30</v>
      </c>
      <c r="B46" s="3">
        <f>6</f>
        <v>6</v>
      </c>
      <c r="C46" s="3">
        <f>B46*$B$6</f>
        <v>660</v>
      </c>
    </row>
    <row r="47" spans="1:3" x14ac:dyDescent="0.2">
      <c r="A47" t="s">
        <v>31</v>
      </c>
      <c r="B47" s="3">
        <f>5</f>
        <v>5</v>
      </c>
      <c r="C47" s="3">
        <f>B47*$B$4</f>
        <v>400</v>
      </c>
    </row>
    <row r="48" spans="1:3" x14ac:dyDescent="0.2">
      <c r="B48" s="4">
        <f>SUM(B44:B47)</f>
        <v>23</v>
      </c>
      <c r="C48" s="4">
        <f>SUM(C44:C47)</f>
        <v>1810</v>
      </c>
    </row>
    <row r="50" spans="1:3" x14ac:dyDescent="0.2">
      <c r="A50" s="17" t="s">
        <v>21</v>
      </c>
    </row>
    <row r="51" spans="1:3" x14ac:dyDescent="0.2">
      <c r="A51" t="s">
        <v>38</v>
      </c>
      <c r="B51" s="3">
        <v>2</v>
      </c>
      <c r="C51" s="3">
        <v>0</v>
      </c>
    </row>
    <row r="52" spans="1:3" x14ac:dyDescent="0.2">
      <c r="A52" t="s">
        <v>39</v>
      </c>
      <c r="B52" s="3">
        <v>3</v>
      </c>
      <c r="C52" s="3">
        <f>B52*$B$6</f>
        <v>330</v>
      </c>
    </row>
    <row r="53" spans="1:3" x14ac:dyDescent="0.2">
      <c r="A53" t="s">
        <v>40</v>
      </c>
      <c r="B53" s="3">
        <v>2</v>
      </c>
      <c r="C53" s="3">
        <f t="shared" ref="C53:C55" si="0">B53*$B$6</f>
        <v>220</v>
      </c>
    </row>
    <row r="54" spans="1:3" x14ac:dyDescent="0.2">
      <c r="A54" t="s">
        <v>41</v>
      </c>
      <c r="B54" s="3">
        <v>5</v>
      </c>
      <c r="C54" s="3">
        <f t="shared" si="0"/>
        <v>550</v>
      </c>
    </row>
    <row r="55" spans="1:3" x14ac:dyDescent="0.2">
      <c r="A55" t="s">
        <v>42</v>
      </c>
      <c r="B55" s="3">
        <v>1</v>
      </c>
      <c r="C55" s="3">
        <f t="shared" si="0"/>
        <v>110</v>
      </c>
    </row>
    <row r="56" spans="1:3" x14ac:dyDescent="0.2">
      <c r="B56" s="4">
        <f>SUM(B51:B55)</f>
        <v>13</v>
      </c>
      <c r="C56" s="4">
        <f>SUM(C51:C55)</f>
        <v>1210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845B-EB7F-4426-A815-8DBFE6B662B1}">
  <dimension ref="A1:F14"/>
  <sheetViews>
    <sheetView workbookViewId="0">
      <selection activeCell="B6" sqref="B6"/>
    </sheetView>
  </sheetViews>
  <sheetFormatPr baseColWidth="10" defaultColWidth="8.83203125" defaultRowHeight="15" x14ac:dyDescent="0.2"/>
  <cols>
    <col min="1" max="1" width="37.6640625" customWidth="1"/>
    <col min="2" max="2" width="13.6640625" style="5" customWidth="1"/>
    <col min="3" max="3" width="2" customWidth="1"/>
    <col min="4" max="4" width="16.5" style="3" customWidth="1"/>
    <col min="5" max="5" width="17.5" style="5" customWidth="1"/>
    <col min="6" max="6" width="9" style="3"/>
  </cols>
  <sheetData>
    <row r="1" spans="1:6" x14ac:dyDescent="0.2">
      <c r="A1" s="17" t="s">
        <v>9</v>
      </c>
      <c r="B1" s="4" t="s">
        <v>10</v>
      </c>
      <c r="C1" s="2"/>
      <c r="D1" s="4" t="s">
        <v>43</v>
      </c>
      <c r="E1" s="6" t="s">
        <v>44</v>
      </c>
      <c r="F1" s="4" t="s">
        <v>45</v>
      </c>
    </row>
    <row r="2" spans="1:6" x14ac:dyDescent="0.2">
      <c r="A2" t="s">
        <v>11</v>
      </c>
      <c r="B2" s="3">
        <v>5000</v>
      </c>
      <c r="D2" s="3">
        <v>1</v>
      </c>
      <c r="E2" s="5">
        <v>1</v>
      </c>
      <c r="F2" s="5"/>
    </row>
    <row r="3" spans="1:6" x14ac:dyDescent="0.2">
      <c r="A3" t="s">
        <v>12</v>
      </c>
      <c r="B3" s="3">
        <v>5000</v>
      </c>
      <c r="D3" s="3">
        <v>0</v>
      </c>
      <c r="E3" s="5">
        <v>1</v>
      </c>
      <c r="F3" s="5"/>
    </row>
    <row r="4" spans="1:6" x14ac:dyDescent="0.2">
      <c r="A4" t="s">
        <v>13</v>
      </c>
      <c r="B4" s="3">
        <v>2400</v>
      </c>
      <c r="D4" s="3">
        <v>1</v>
      </c>
      <c r="E4" s="5">
        <v>2</v>
      </c>
      <c r="F4" s="5"/>
    </row>
    <row r="5" spans="1:6" x14ac:dyDescent="0.2">
      <c r="A5" t="s">
        <v>14</v>
      </c>
      <c r="B5" s="3">
        <v>1200</v>
      </c>
      <c r="D5" s="3">
        <v>3</v>
      </c>
      <c r="E5" s="5">
        <v>4</v>
      </c>
      <c r="F5" s="5"/>
    </row>
    <row r="6" spans="1:6" x14ac:dyDescent="0.2">
      <c r="A6" t="s">
        <v>15</v>
      </c>
      <c r="B6" s="3"/>
      <c r="D6" s="3">
        <v>0</v>
      </c>
      <c r="E6" s="5">
        <v>0</v>
      </c>
      <c r="F6" s="5"/>
    </row>
    <row r="7" spans="1:6" x14ac:dyDescent="0.2">
      <c r="A7" t="s">
        <v>16</v>
      </c>
      <c r="B7" s="3">
        <v>50</v>
      </c>
      <c r="D7" s="3">
        <v>0</v>
      </c>
      <c r="E7" s="5">
        <v>0</v>
      </c>
      <c r="F7" s="5"/>
    </row>
    <row r="8" spans="1:6" x14ac:dyDescent="0.2">
      <c r="A8" t="s">
        <v>18</v>
      </c>
      <c r="B8" s="3">
        <v>50</v>
      </c>
      <c r="D8" s="3">
        <v>2</v>
      </c>
      <c r="E8" s="5">
        <v>4</v>
      </c>
      <c r="F8" s="5"/>
    </row>
    <row r="9" spans="1:6" x14ac:dyDescent="0.2">
      <c r="A9" t="s">
        <v>19</v>
      </c>
      <c r="B9" s="3">
        <v>200</v>
      </c>
      <c r="D9" s="3">
        <v>2</v>
      </c>
      <c r="E9" s="5">
        <v>2</v>
      </c>
      <c r="F9" s="5"/>
    </row>
    <row r="10" spans="1:6" x14ac:dyDescent="0.2">
      <c r="A10" t="s">
        <v>20</v>
      </c>
      <c r="B10" s="3">
        <v>650</v>
      </c>
      <c r="D10" s="3">
        <v>10</v>
      </c>
      <c r="E10" s="5">
        <v>10</v>
      </c>
      <c r="F10" s="5"/>
    </row>
    <row r="11" spans="1:6" x14ac:dyDescent="0.2">
      <c r="A11" t="s">
        <v>46</v>
      </c>
      <c r="B11" s="3">
        <v>650</v>
      </c>
      <c r="D11" s="3">
        <v>4</v>
      </c>
      <c r="E11" s="5">
        <v>10</v>
      </c>
      <c r="F11" s="5"/>
    </row>
    <row r="12" spans="1:6" x14ac:dyDescent="0.2">
      <c r="A12" t="s">
        <v>22</v>
      </c>
      <c r="B12" s="3">
        <v>1200</v>
      </c>
      <c r="D12" s="3">
        <v>2</v>
      </c>
      <c r="E12" s="5">
        <v>3</v>
      </c>
      <c r="F12" s="6"/>
    </row>
    <row r="13" spans="1:6" x14ac:dyDescent="0.2">
      <c r="A13" t="s">
        <v>47</v>
      </c>
      <c r="B13" s="5">
        <v>50</v>
      </c>
      <c r="D13" s="3">
        <v>20</v>
      </c>
      <c r="E13" s="5">
        <v>20</v>
      </c>
    </row>
    <row r="14" spans="1:6" x14ac:dyDescent="0.2">
      <c r="A14" t="s">
        <v>48</v>
      </c>
      <c r="B14" s="3">
        <v>75</v>
      </c>
      <c r="D14" s="3">
        <v>20</v>
      </c>
      <c r="E14" s="5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F793-932A-4F6C-BEB8-9E732755F710}">
  <dimension ref="A1:Z106"/>
  <sheetViews>
    <sheetView zoomScale="103" workbookViewId="0">
      <pane xSplit="3" ySplit="2" topLeftCell="D45" activePane="bottomRight" state="frozen"/>
      <selection pane="topRight" activeCell="D1" sqref="D1"/>
      <selection pane="bottomLeft" activeCell="A3" sqref="A3"/>
      <selection pane="bottomRight" activeCell="O69" sqref="O69"/>
    </sheetView>
  </sheetViews>
  <sheetFormatPr baseColWidth="10" defaultColWidth="8.83203125" defaultRowHeight="15" x14ac:dyDescent="0.2"/>
  <cols>
    <col min="1" max="1" width="31.5" customWidth="1"/>
    <col min="3" max="3" width="12.33203125" customWidth="1"/>
    <col min="4" max="4" width="11" hidden="1" customWidth="1"/>
    <col min="5" max="6" width="8.83203125" hidden="1" customWidth="1"/>
    <col min="7" max="7" width="8.83203125" customWidth="1"/>
    <col min="8" max="8" width="11.83203125" customWidth="1"/>
    <col min="10" max="10" width="11.83203125" bestFit="1" customWidth="1"/>
    <col min="11" max="11" width="11" bestFit="1" customWidth="1"/>
    <col min="12" max="13" width="9.6640625" bestFit="1" customWidth="1"/>
    <col min="14" max="14" width="9.5" bestFit="1" customWidth="1"/>
    <col min="16" max="16" width="1.6640625" customWidth="1"/>
    <col min="18" max="19" width="10.6640625" customWidth="1"/>
    <col min="20" max="28" width="10.83203125" customWidth="1"/>
  </cols>
  <sheetData>
    <row r="1" spans="1:24" x14ac:dyDescent="0.2">
      <c r="D1" s="32" t="s">
        <v>49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"/>
    </row>
    <row r="2" spans="1:24" x14ac:dyDescent="0.2">
      <c r="A2" s="2" t="s">
        <v>9</v>
      </c>
      <c r="B2" s="6" t="s">
        <v>50</v>
      </c>
      <c r="C2" t="s">
        <v>51</v>
      </c>
      <c r="D2" s="7">
        <v>44927</v>
      </c>
      <c r="E2" s="7">
        <v>44958</v>
      </c>
      <c r="F2" s="7">
        <v>44986</v>
      </c>
      <c r="G2" s="7">
        <v>45017</v>
      </c>
      <c r="H2" s="7">
        <v>45047</v>
      </c>
      <c r="I2" s="7">
        <v>45078</v>
      </c>
      <c r="J2" s="7">
        <v>45108</v>
      </c>
      <c r="K2" s="7">
        <v>45139</v>
      </c>
      <c r="L2" s="7">
        <v>45170</v>
      </c>
      <c r="M2" s="7">
        <v>45200</v>
      </c>
      <c r="N2" s="7">
        <v>45231</v>
      </c>
      <c r="O2" s="7">
        <v>45261</v>
      </c>
      <c r="P2" s="7"/>
      <c r="Q2" s="7">
        <v>45292</v>
      </c>
      <c r="R2" s="7">
        <v>45323</v>
      </c>
      <c r="S2" s="7">
        <v>45352</v>
      </c>
      <c r="T2" s="7"/>
      <c r="U2" s="7"/>
      <c r="V2" s="7"/>
      <c r="W2" s="7"/>
      <c r="X2" s="7"/>
    </row>
    <row r="3" spans="1:24" x14ac:dyDescent="0.2">
      <c r="A3" t="s">
        <v>11</v>
      </c>
      <c r="B3" s="3">
        <v>9000</v>
      </c>
      <c r="M3">
        <v>0</v>
      </c>
      <c r="N3">
        <v>0</v>
      </c>
      <c r="O3">
        <v>0</v>
      </c>
      <c r="Q3">
        <v>0</v>
      </c>
      <c r="R3">
        <v>0</v>
      </c>
      <c r="S3">
        <v>0</v>
      </c>
    </row>
    <row r="4" spans="1:24" x14ac:dyDescent="0.2">
      <c r="A4" t="s">
        <v>12</v>
      </c>
      <c r="B4" s="3">
        <v>5000</v>
      </c>
      <c r="K4" s="25">
        <v>0.76184989999999997</v>
      </c>
      <c r="L4" s="21">
        <v>0.76184989999999997</v>
      </c>
      <c r="M4" s="21">
        <v>0.76184989999999997</v>
      </c>
      <c r="N4" s="21">
        <v>1.59544</v>
      </c>
      <c r="O4" s="21">
        <v>1.55125</v>
      </c>
      <c r="P4" s="25"/>
      <c r="Q4" s="21">
        <v>1.72908</v>
      </c>
      <c r="R4" s="25">
        <v>1.5512888</v>
      </c>
      <c r="S4" s="21">
        <v>0.84</v>
      </c>
    </row>
    <row r="5" spans="1:24" x14ac:dyDescent="0.2">
      <c r="B5" s="3">
        <v>3500</v>
      </c>
      <c r="K5" s="25"/>
      <c r="L5" s="21"/>
      <c r="M5" s="21"/>
      <c r="N5" s="21"/>
      <c r="O5" s="21"/>
      <c r="P5" s="25"/>
      <c r="Q5" s="25"/>
      <c r="R5" s="25"/>
    </row>
    <row r="6" spans="1:24" x14ac:dyDescent="0.2">
      <c r="A6" t="s">
        <v>13</v>
      </c>
      <c r="B6" s="3">
        <v>2400</v>
      </c>
      <c r="G6" s="21">
        <v>1.125</v>
      </c>
      <c r="H6" s="21">
        <v>1.125</v>
      </c>
      <c r="I6" s="21">
        <v>1.125</v>
      </c>
      <c r="J6" s="25">
        <v>1.125</v>
      </c>
      <c r="K6" s="25">
        <v>1.125</v>
      </c>
      <c r="L6" s="21">
        <v>1.125</v>
      </c>
      <c r="M6" s="21">
        <v>1.125</v>
      </c>
      <c r="N6" s="21">
        <v>1.125</v>
      </c>
      <c r="O6" s="21">
        <v>1.125</v>
      </c>
      <c r="P6" s="25"/>
      <c r="Q6" s="21">
        <v>1.125</v>
      </c>
      <c r="R6" s="25">
        <v>1.125</v>
      </c>
      <c r="S6" s="21">
        <v>1.125</v>
      </c>
    </row>
    <row r="7" spans="1:24" x14ac:dyDescent="0.2">
      <c r="A7" s="26" t="s">
        <v>14</v>
      </c>
      <c r="B7" s="27">
        <v>1200</v>
      </c>
      <c r="G7" s="21">
        <f>1.03+1.25</f>
        <v>2.2800000000000002</v>
      </c>
      <c r="H7" s="21">
        <v>2.2800000000000002</v>
      </c>
      <c r="I7" s="21">
        <v>2.2800000000000002</v>
      </c>
      <c r="J7" s="25">
        <v>2.2799999999999998</v>
      </c>
      <c r="K7" s="25">
        <v>2.2799999999999998</v>
      </c>
      <c r="L7" s="21">
        <v>2.2799999999999998</v>
      </c>
      <c r="M7" s="21">
        <v>2.2799999999999998</v>
      </c>
      <c r="N7" s="21">
        <v>2.2799999999999998</v>
      </c>
      <c r="O7" s="21">
        <v>3.53</v>
      </c>
      <c r="P7" s="25"/>
      <c r="Q7" s="21">
        <v>3.53</v>
      </c>
      <c r="R7" s="25">
        <v>3.53</v>
      </c>
      <c r="S7" s="21">
        <v>3.53</v>
      </c>
    </row>
    <row r="8" spans="1:24" x14ac:dyDescent="0.2">
      <c r="A8" t="s">
        <v>52</v>
      </c>
      <c r="B8" s="3">
        <v>2100</v>
      </c>
      <c r="G8" s="25"/>
      <c r="H8" s="25"/>
      <c r="I8" s="25"/>
      <c r="J8" s="25"/>
      <c r="K8" s="25"/>
      <c r="L8" s="21">
        <v>0</v>
      </c>
      <c r="M8" s="25">
        <v>0</v>
      </c>
      <c r="N8" s="21">
        <v>1</v>
      </c>
    </row>
    <row r="9" spans="1:24" x14ac:dyDescent="0.2">
      <c r="A9" t="s">
        <v>15</v>
      </c>
      <c r="B9" s="3"/>
    </row>
    <row r="10" spans="1:24" x14ac:dyDescent="0.2">
      <c r="A10" t="s">
        <v>16</v>
      </c>
      <c r="B10" s="3">
        <v>16.670000000000002</v>
      </c>
    </row>
    <row r="11" spans="1:24" x14ac:dyDescent="0.2">
      <c r="A11" t="s">
        <v>53</v>
      </c>
      <c r="B11" s="3">
        <v>20</v>
      </c>
      <c r="C11" t="s">
        <v>54</v>
      </c>
      <c r="G11" s="21">
        <v>1</v>
      </c>
      <c r="H11" s="21">
        <v>1</v>
      </c>
      <c r="I11" s="21">
        <v>1</v>
      </c>
      <c r="J11" s="25">
        <v>1</v>
      </c>
      <c r="K11" s="25">
        <v>1</v>
      </c>
      <c r="L11" s="21">
        <v>1</v>
      </c>
      <c r="M11" s="21">
        <v>1</v>
      </c>
      <c r="N11" s="21">
        <v>1</v>
      </c>
      <c r="O11" s="21">
        <v>1</v>
      </c>
      <c r="P11" s="25"/>
      <c r="Q11" s="21">
        <v>1</v>
      </c>
      <c r="R11" s="25">
        <v>1</v>
      </c>
      <c r="S11" s="21">
        <v>1</v>
      </c>
    </row>
    <row r="12" spans="1:24" x14ac:dyDescent="0.2">
      <c r="A12" t="s">
        <v>18</v>
      </c>
      <c r="B12" s="3">
        <v>50</v>
      </c>
      <c r="G12" s="21">
        <v>5</v>
      </c>
      <c r="H12" s="21">
        <v>5</v>
      </c>
      <c r="I12" s="21">
        <v>5</v>
      </c>
      <c r="J12" s="25">
        <v>5</v>
      </c>
      <c r="K12" s="25">
        <v>5</v>
      </c>
      <c r="L12" s="21">
        <v>5</v>
      </c>
      <c r="M12" s="21">
        <v>5</v>
      </c>
      <c r="N12" s="21">
        <v>5</v>
      </c>
      <c r="O12" s="21">
        <v>5</v>
      </c>
      <c r="P12" s="25"/>
      <c r="Q12" s="21">
        <v>5</v>
      </c>
      <c r="R12" s="25">
        <v>5</v>
      </c>
      <c r="S12" s="21">
        <v>5</v>
      </c>
    </row>
    <row r="13" spans="1:24" x14ac:dyDescent="0.2">
      <c r="A13" t="s">
        <v>19</v>
      </c>
      <c r="B13" s="3">
        <v>200</v>
      </c>
    </row>
    <row r="14" spans="1:24" x14ac:dyDescent="0.2">
      <c r="A14" t="s">
        <v>20</v>
      </c>
      <c r="B14" s="3">
        <v>650</v>
      </c>
      <c r="D14">
        <v>0</v>
      </c>
      <c r="E14">
        <v>0</v>
      </c>
      <c r="F14">
        <v>0</v>
      </c>
      <c r="G14">
        <v>0</v>
      </c>
      <c r="H14">
        <v>0</v>
      </c>
      <c r="O14" s="21">
        <v>1.2923076</v>
      </c>
      <c r="Q14" s="21">
        <v>1.2923100000000001</v>
      </c>
      <c r="R14" s="25">
        <v>1.2923100000000001</v>
      </c>
      <c r="S14" s="21">
        <v>1.2923100000000001</v>
      </c>
    </row>
    <row r="15" spans="1:24" x14ac:dyDescent="0.2">
      <c r="A15" t="s">
        <v>55</v>
      </c>
      <c r="B15" s="3">
        <v>70</v>
      </c>
      <c r="C15" t="s">
        <v>54</v>
      </c>
      <c r="D15">
        <v>0</v>
      </c>
      <c r="E15">
        <v>0</v>
      </c>
      <c r="F15">
        <v>0</v>
      </c>
      <c r="G15" s="21">
        <v>1</v>
      </c>
      <c r="H15" s="21">
        <v>1</v>
      </c>
      <c r="I15" s="21">
        <v>1</v>
      </c>
      <c r="J15" s="25">
        <v>1.24</v>
      </c>
      <c r="K15" s="25">
        <v>1</v>
      </c>
      <c r="L15" s="21">
        <v>1</v>
      </c>
      <c r="M15" s="21">
        <v>1</v>
      </c>
      <c r="N15" s="21">
        <v>1</v>
      </c>
      <c r="O15" s="21">
        <v>1</v>
      </c>
      <c r="P15" s="25"/>
      <c r="Q15" s="21">
        <v>1</v>
      </c>
      <c r="R15" s="25">
        <v>1</v>
      </c>
      <c r="S15" s="21">
        <v>0.71428570000000002</v>
      </c>
    </row>
    <row r="16" spans="1:24" x14ac:dyDescent="0.2">
      <c r="A16" t="s">
        <v>46</v>
      </c>
      <c r="B16" s="3">
        <v>650</v>
      </c>
      <c r="D16" s="21">
        <v>2</v>
      </c>
      <c r="E16" s="25">
        <v>0</v>
      </c>
      <c r="F16" s="21">
        <v>1</v>
      </c>
      <c r="G16" s="25">
        <v>0</v>
      </c>
      <c r="H16" s="21">
        <f>0.2307692308+0.25+0.4307692</f>
        <v>0.91153843080000008</v>
      </c>
      <c r="I16" s="21">
        <v>0.25</v>
      </c>
      <c r="J16" s="25">
        <v>0.67307689999999998</v>
      </c>
      <c r="K16" s="25">
        <v>0.55769230000000003</v>
      </c>
      <c r="L16" s="21">
        <v>1.1153846000000001</v>
      </c>
      <c r="M16" s="21">
        <v>1.0961538</v>
      </c>
      <c r="N16" s="21">
        <v>0.25</v>
      </c>
      <c r="O16" s="21">
        <v>0.82692299999999996</v>
      </c>
      <c r="Q16" s="21">
        <f>0.5625076</f>
        <v>0.5625076</v>
      </c>
      <c r="R16" s="25">
        <v>2.85</v>
      </c>
      <c r="S16" s="21">
        <v>1</v>
      </c>
      <c r="U16" t="s">
        <v>56</v>
      </c>
      <c r="V16" t="s">
        <v>57</v>
      </c>
      <c r="W16" t="s">
        <v>58</v>
      </c>
      <c r="X16" t="s">
        <v>59</v>
      </c>
    </row>
    <row r="17" spans="1:26" x14ac:dyDescent="0.2">
      <c r="A17" t="s">
        <v>60</v>
      </c>
      <c r="B17" s="3">
        <v>250</v>
      </c>
      <c r="D17" s="21"/>
      <c r="E17" s="25"/>
      <c r="F17" s="21"/>
      <c r="G17" s="25"/>
      <c r="H17" s="21"/>
      <c r="I17" s="21"/>
      <c r="J17" s="25"/>
      <c r="K17" s="25"/>
      <c r="L17" s="21"/>
      <c r="M17" s="21"/>
      <c r="N17" s="21">
        <v>1.56</v>
      </c>
      <c r="O17" s="21">
        <v>1</v>
      </c>
      <c r="Q17" s="21">
        <v>3.56</v>
      </c>
      <c r="R17" s="25">
        <v>0</v>
      </c>
      <c r="S17" s="21">
        <v>1.5</v>
      </c>
    </row>
    <row r="18" spans="1:26" x14ac:dyDescent="0.2">
      <c r="A18" t="s">
        <v>22</v>
      </c>
      <c r="B18" s="3">
        <v>1200</v>
      </c>
      <c r="K18" s="21">
        <v>0.5</v>
      </c>
      <c r="L18" s="21">
        <v>0.16669999999999999</v>
      </c>
      <c r="M18">
        <v>0</v>
      </c>
      <c r="N18" s="25">
        <v>0</v>
      </c>
      <c r="Q18" s="25">
        <v>0</v>
      </c>
      <c r="R18" s="25">
        <v>0.375</v>
      </c>
      <c r="S18" s="21">
        <v>1.0833299999999999</v>
      </c>
      <c r="U18" t="s">
        <v>61</v>
      </c>
      <c r="V18" t="s">
        <v>57</v>
      </c>
      <c r="W18" t="s">
        <v>62</v>
      </c>
      <c r="X18" t="s">
        <v>63</v>
      </c>
      <c r="Y18" t="s">
        <v>64</v>
      </c>
      <c r="Z18" t="s">
        <v>59</v>
      </c>
    </row>
    <row r="19" spans="1:26" x14ac:dyDescent="0.2">
      <c r="A19" t="s">
        <v>65</v>
      </c>
      <c r="B19" s="3">
        <v>110</v>
      </c>
      <c r="I19" s="21">
        <v>19.999960000000002</v>
      </c>
    </row>
    <row r="20" spans="1:26" x14ac:dyDescent="0.2">
      <c r="A20" t="s">
        <v>66</v>
      </c>
      <c r="B20" s="5">
        <v>40</v>
      </c>
      <c r="D20" s="21">
        <v>12</v>
      </c>
      <c r="E20" s="25">
        <v>0</v>
      </c>
      <c r="F20" s="25">
        <v>2</v>
      </c>
      <c r="G20" s="21">
        <v>7.25</v>
      </c>
      <c r="H20" s="21">
        <v>19.25</v>
      </c>
      <c r="I20" s="21">
        <v>10.09</v>
      </c>
      <c r="J20" s="25">
        <v>20.25</v>
      </c>
      <c r="K20" s="25">
        <v>21.8125</v>
      </c>
      <c r="L20" s="21">
        <v>20.287500000000001</v>
      </c>
      <c r="M20" s="21">
        <v>22.582999999999998</v>
      </c>
      <c r="N20" s="21">
        <v>16.829999999999998</v>
      </c>
      <c r="O20" s="21">
        <v>13.17</v>
      </c>
      <c r="Q20" s="21">
        <v>2.5</v>
      </c>
      <c r="R20" s="25">
        <v>23.75</v>
      </c>
      <c r="S20" s="21">
        <v>22.375</v>
      </c>
    </row>
    <row r="21" spans="1:26" x14ac:dyDescent="0.2">
      <c r="A21" t="s">
        <v>67</v>
      </c>
      <c r="B21" s="5">
        <v>80</v>
      </c>
      <c r="D21" s="21"/>
      <c r="E21" s="25"/>
      <c r="F21" s="25"/>
      <c r="G21" s="21">
        <v>1.5</v>
      </c>
      <c r="H21" s="21">
        <v>6.9333</v>
      </c>
      <c r="I21" s="21">
        <v>4.8</v>
      </c>
      <c r="J21" s="25">
        <v>19.66666</v>
      </c>
      <c r="K21" s="25">
        <v>14.933332999999999</v>
      </c>
      <c r="L21" s="21">
        <v>13.466659999999999</v>
      </c>
      <c r="M21" s="21">
        <v>24.666599999999999</v>
      </c>
      <c r="N21" s="21">
        <v>24.266999999999999</v>
      </c>
      <c r="O21" s="21">
        <v>24.698</v>
      </c>
      <c r="Q21" s="21">
        <v>37.153750000000002</v>
      </c>
      <c r="R21" s="25">
        <v>8</v>
      </c>
      <c r="S21" s="21">
        <f>1790/80</f>
        <v>22.375</v>
      </c>
    </row>
    <row r="22" spans="1:26" x14ac:dyDescent="0.2">
      <c r="A22" t="s">
        <v>48</v>
      </c>
      <c r="B22" s="3">
        <v>60</v>
      </c>
      <c r="F22" s="21">
        <f>2</f>
        <v>2</v>
      </c>
      <c r="G22" s="21">
        <f>2</f>
        <v>2</v>
      </c>
      <c r="H22" s="21">
        <v>3.6457999999999999</v>
      </c>
    </row>
    <row r="23" spans="1:26" x14ac:dyDescent="0.2">
      <c r="D23">
        <f>SUM(D3:D22)</f>
        <v>14</v>
      </c>
      <c r="E23">
        <f>SUM(E3:E22)</f>
        <v>0</v>
      </c>
      <c r="F23">
        <f>SUM(F3:F22)</f>
        <v>5</v>
      </c>
      <c r="G23">
        <f>SUM(G3:G22)</f>
        <v>21.155000000000001</v>
      </c>
      <c r="H23">
        <f>SUM(H3:H22)</f>
        <v>41.145638430800005</v>
      </c>
      <c r="I23">
        <v>45.544960000000003</v>
      </c>
      <c r="J23">
        <v>51.234736900000001</v>
      </c>
      <c r="K23">
        <v>48.970375199999999</v>
      </c>
      <c r="L23">
        <v>46.203094499999999</v>
      </c>
      <c r="M23">
        <v>59.5126037</v>
      </c>
      <c r="N23">
        <v>55.907439999999994</v>
      </c>
      <c r="O23">
        <v>54.193480600000001</v>
      </c>
      <c r="Q23">
        <f t="shared" ref="Q23:S23" si="0">SUM(Q3:Q22)</f>
        <v>58.452647600000006</v>
      </c>
      <c r="R23">
        <f t="shared" si="0"/>
        <v>49.473598800000005</v>
      </c>
      <c r="S23">
        <f t="shared" si="0"/>
        <v>61.834925699999999</v>
      </c>
    </row>
    <row r="25" spans="1:26" x14ac:dyDescent="0.2">
      <c r="A25" s="17" t="s">
        <v>68</v>
      </c>
    </row>
    <row r="26" spans="1:26" x14ac:dyDescent="0.2">
      <c r="A26" t="s">
        <v>11</v>
      </c>
      <c r="B26" s="5">
        <v>9000</v>
      </c>
      <c r="D26" s="9">
        <f t="shared" ref="D26:H27" si="1">(D3*$B3)/12</f>
        <v>0</v>
      </c>
      <c r="E26" s="9">
        <f t="shared" si="1"/>
        <v>0</v>
      </c>
      <c r="F26" s="9">
        <f t="shared" si="1"/>
        <v>0</v>
      </c>
      <c r="G26" s="9">
        <f t="shared" si="1"/>
        <v>0</v>
      </c>
      <c r="H26" s="9">
        <f t="shared" si="1"/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/>
      <c r="Q26" s="9">
        <f t="shared" ref="Q26:S26" si="2">(Q3*$B3)/12</f>
        <v>0</v>
      </c>
      <c r="R26" s="9">
        <f t="shared" si="2"/>
        <v>0</v>
      </c>
      <c r="S26" s="9">
        <f t="shared" si="2"/>
        <v>0</v>
      </c>
      <c r="T26" s="9"/>
      <c r="U26" s="9"/>
      <c r="V26" s="9"/>
      <c r="W26" s="9"/>
      <c r="X26" s="9"/>
      <c r="Y26" s="9"/>
      <c r="Z26" s="9"/>
    </row>
    <row r="27" spans="1:26" x14ac:dyDescent="0.2">
      <c r="A27" t="s">
        <v>12</v>
      </c>
      <c r="B27" s="5">
        <v>5000</v>
      </c>
      <c r="D27" s="9">
        <f t="shared" si="1"/>
        <v>0</v>
      </c>
      <c r="E27" s="9">
        <f t="shared" si="1"/>
        <v>0</v>
      </c>
      <c r="F27" s="9">
        <f t="shared" si="1"/>
        <v>0</v>
      </c>
      <c r="G27" s="9">
        <f t="shared" si="1"/>
        <v>0</v>
      </c>
      <c r="H27" s="9">
        <f t="shared" si="1"/>
        <v>0</v>
      </c>
      <c r="I27" s="9">
        <v>0</v>
      </c>
      <c r="J27" s="9">
        <v>0</v>
      </c>
      <c r="K27" s="22">
        <v>317.43745833333332</v>
      </c>
      <c r="L27" s="22">
        <v>317.43745833333332</v>
      </c>
      <c r="M27" s="22">
        <v>317.43745833333332</v>
      </c>
      <c r="N27" s="22">
        <v>664.76666666666665</v>
      </c>
      <c r="O27" s="22">
        <v>646.35416666666663</v>
      </c>
      <c r="P27" s="9"/>
      <c r="Q27" s="24">
        <f t="shared" ref="Q27:S27" si="3">(Q4*$B4)/12</f>
        <v>720.44999999999993</v>
      </c>
      <c r="R27" s="24">
        <f t="shared" si="3"/>
        <v>646.37033333333341</v>
      </c>
      <c r="S27" s="24">
        <f t="shared" si="3"/>
        <v>350</v>
      </c>
      <c r="T27" s="9"/>
      <c r="U27" s="9"/>
      <c r="V27" s="9"/>
      <c r="W27" s="9"/>
      <c r="X27" s="9"/>
      <c r="Y27" s="9"/>
      <c r="Z27" s="9"/>
    </row>
    <row r="28" spans="1:26" x14ac:dyDescent="0.2">
      <c r="A28" t="s">
        <v>13</v>
      </c>
      <c r="B28" s="5">
        <v>2400</v>
      </c>
      <c r="D28" s="9">
        <f t="shared" ref="D28:H28" si="4">(D6*$B6)/12</f>
        <v>0</v>
      </c>
      <c r="E28" s="9">
        <f t="shared" si="4"/>
        <v>0</v>
      </c>
      <c r="F28" s="9">
        <f t="shared" si="4"/>
        <v>0</v>
      </c>
      <c r="G28" s="22">
        <f t="shared" si="4"/>
        <v>225</v>
      </c>
      <c r="H28" s="22">
        <f t="shared" si="4"/>
        <v>225</v>
      </c>
      <c r="I28" s="22">
        <v>225</v>
      </c>
      <c r="J28" s="22">
        <v>225</v>
      </c>
      <c r="K28" s="22">
        <v>225</v>
      </c>
      <c r="L28" s="22">
        <v>225</v>
      </c>
      <c r="M28" s="22">
        <v>225</v>
      </c>
      <c r="N28" s="22">
        <v>225</v>
      </c>
      <c r="O28" s="22">
        <v>225</v>
      </c>
      <c r="P28" s="9"/>
      <c r="Q28" s="24">
        <f t="shared" ref="Q28:R28" si="5">(Q6*$B6)/12</f>
        <v>225</v>
      </c>
      <c r="R28" s="24">
        <f t="shared" si="5"/>
        <v>225</v>
      </c>
      <c r="S28" s="24">
        <f>(S6*$B6)/12</f>
        <v>225</v>
      </c>
      <c r="T28" s="9"/>
      <c r="U28" s="9"/>
      <c r="V28" s="9"/>
      <c r="W28" s="9"/>
      <c r="X28" s="9"/>
      <c r="Y28" s="9"/>
      <c r="Z28" s="9"/>
    </row>
    <row r="29" spans="1:26" x14ac:dyDescent="0.2">
      <c r="A29" t="s">
        <v>14</v>
      </c>
      <c r="B29" s="5">
        <v>1200</v>
      </c>
      <c r="D29" s="9">
        <f t="shared" ref="D29:H29" si="6">(D7*$B7)/12</f>
        <v>0</v>
      </c>
      <c r="E29" s="9">
        <f t="shared" si="6"/>
        <v>0</v>
      </c>
      <c r="F29" s="9">
        <f t="shared" si="6"/>
        <v>0</v>
      </c>
      <c r="G29" s="22">
        <f t="shared" si="6"/>
        <v>228.00000000000003</v>
      </c>
      <c r="H29" s="22">
        <f t="shared" si="6"/>
        <v>228.00000000000003</v>
      </c>
      <c r="I29" s="22">
        <v>228.00000000000003</v>
      </c>
      <c r="J29" s="22">
        <v>227.99999999999997</v>
      </c>
      <c r="K29" s="22">
        <v>227.99999999999997</v>
      </c>
      <c r="L29" s="22">
        <v>227.99999999999997</v>
      </c>
      <c r="M29" s="22">
        <v>227.99999999999997</v>
      </c>
      <c r="N29" s="22">
        <v>227.99999999999997</v>
      </c>
      <c r="O29" s="22">
        <v>353</v>
      </c>
      <c r="P29" s="9"/>
      <c r="Q29" s="24">
        <f t="shared" ref="Q29:S29" si="7">(Q7*$B7)/12</f>
        <v>353</v>
      </c>
      <c r="R29" s="24">
        <f t="shared" si="7"/>
        <v>353</v>
      </c>
      <c r="S29" s="24">
        <f t="shared" si="7"/>
        <v>353</v>
      </c>
      <c r="T29" s="9"/>
      <c r="U29" s="9"/>
      <c r="V29" s="9"/>
      <c r="W29" s="9"/>
      <c r="X29" s="9"/>
      <c r="Y29" s="9"/>
      <c r="Z29" s="9"/>
    </row>
    <row r="30" spans="1:26" x14ac:dyDescent="0.2">
      <c r="A30" t="s">
        <v>69</v>
      </c>
      <c r="B30" s="5">
        <v>2100</v>
      </c>
      <c r="D30" s="9">
        <f t="shared" ref="D30:H30" si="8">(D8*$B8)</f>
        <v>0</v>
      </c>
      <c r="E30" s="9">
        <f t="shared" si="8"/>
        <v>0</v>
      </c>
      <c r="F30" s="9">
        <f t="shared" si="8"/>
        <v>0</v>
      </c>
      <c r="G30" s="24">
        <f t="shared" si="8"/>
        <v>0</v>
      </c>
      <c r="H30" s="24">
        <f t="shared" si="8"/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2">
        <v>2100</v>
      </c>
      <c r="O30" s="9">
        <v>0</v>
      </c>
      <c r="P30" s="9"/>
      <c r="Q30" s="9">
        <v>0</v>
      </c>
      <c r="R30" s="9">
        <v>0</v>
      </c>
      <c r="S30" s="9">
        <v>0</v>
      </c>
      <c r="T30" s="9"/>
      <c r="U30" s="9"/>
      <c r="V30" s="9"/>
      <c r="W30" s="9"/>
      <c r="X30" s="9"/>
      <c r="Y30" s="9"/>
      <c r="Z30" s="9"/>
    </row>
    <row r="31" spans="1:26" x14ac:dyDescent="0.2">
      <c r="A31" t="s">
        <v>70</v>
      </c>
      <c r="B31" s="5">
        <v>3500</v>
      </c>
      <c r="D31" s="9"/>
      <c r="E31" s="9"/>
      <c r="F31" s="9"/>
      <c r="G31" s="24"/>
      <c r="H31" s="24"/>
      <c r="I31" s="24"/>
      <c r="J31" s="24"/>
      <c r="K31" s="24"/>
      <c r="L31" s="24"/>
      <c r="M31" s="24">
        <v>0</v>
      </c>
      <c r="N31" s="22">
        <v>4275</v>
      </c>
      <c r="O31" s="24">
        <v>0</v>
      </c>
      <c r="P31" s="9"/>
      <c r="Q31" s="9">
        <v>0</v>
      </c>
      <c r="R31" s="9">
        <v>0</v>
      </c>
      <c r="S31" s="9">
        <v>0</v>
      </c>
      <c r="T31" s="9"/>
      <c r="U31" s="9"/>
      <c r="V31" s="9"/>
      <c r="W31" s="9"/>
      <c r="X31" s="9"/>
      <c r="Y31" s="9"/>
      <c r="Z31" s="9"/>
    </row>
    <row r="32" spans="1:26" x14ac:dyDescent="0.2">
      <c r="A32" t="s">
        <v>15</v>
      </c>
      <c r="B32" s="5"/>
      <c r="D32" s="9">
        <f t="shared" ref="D32:H32" si="9">(D9*$B9)/12</f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/>
      <c r="Q32" s="9">
        <f t="shared" ref="Q32:S32" si="10">(Q9*$B9)/12</f>
        <v>0</v>
      </c>
      <c r="R32" s="9">
        <f t="shared" si="10"/>
        <v>0</v>
      </c>
      <c r="S32" s="9">
        <f t="shared" si="10"/>
        <v>0</v>
      </c>
      <c r="T32" s="9"/>
      <c r="U32" s="9"/>
      <c r="V32" s="9"/>
      <c r="W32" s="9"/>
      <c r="X32" s="9"/>
      <c r="Y32" s="9"/>
      <c r="Z32" s="9"/>
    </row>
    <row r="33" spans="1:19" x14ac:dyDescent="0.2">
      <c r="A33" t="s">
        <v>16</v>
      </c>
      <c r="B33" s="5">
        <f>B10</f>
        <v>16.670000000000002</v>
      </c>
      <c r="D33" s="9">
        <f>(D10*$B10)</f>
        <v>0</v>
      </c>
      <c r="E33" s="9">
        <f t="shared" ref="E33:S33" si="11">(E10*$B10)</f>
        <v>0</v>
      </c>
      <c r="F33" s="9">
        <f t="shared" si="11"/>
        <v>0</v>
      </c>
      <c r="G33" s="9">
        <f t="shared" si="11"/>
        <v>0</v>
      </c>
      <c r="H33" s="9">
        <f t="shared" si="11"/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/>
      <c r="Q33" s="9">
        <f t="shared" si="11"/>
        <v>0</v>
      </c>
      <c r="R33" s="9">
        <f t="shared" si="11"/>
        <v>0</v>
      </c>
      <c r="S33" s="9">
        <f t="shared" si="11"/>
        <v>0</v>
      </c>
    </row>
    <row r="34" spans="1:19" x14ac:dyDescent="0.2">
      <c r="A34" t="s">
        <v>53</v>
      </c>
      <c r="B34" s="5">
        <v>16.670000000000002</v>
      </c>
      <c r="C34" t="s">
        <v>54</v>
      </c>
      <c r="D34" s="9"/>
      <c r="E34" s="9"/>
      <c r="F34" s="9"/>
      <c r="G34" s="22">
        <f>G11*$B$34</f>
        <v>16.670000000000002</v>
      </c>
      <c r="H34" s="22">
        <f>H11*$B$34</f>
        <v>16.670000000000002</v>
      </c>
      <c r="I34" s="22">
        <v>16.670000000000002</v>
      </c>
      <c r="J34" s="22">
        <v>16.670000000000002</v>
      </c>
      <c r="K34" s="22">
        <v>16.670000000000002</v>
      </c>
      <c r="L34" s="22">
        <v>16.670000000000002</v>
      </c>
      <c r="M34" s="22">
        <v>16.670000000000002</v>
      </c>
      <c r="N34" s="24">
        <v>16.670000000000002</v>
      </c>
      <c r="O34" s="24">
        <v>16.670000000000002</v>
      </c>
      <c r="P34" s="24"/>
      <c r="Q34" s="24">
        <f>Q11*$B$34</f>
        <v>16.670000000000002</v>
      </c>
      <c r="R34" s="24">
        <f>R11*$B$34</f>
        <v>16.670000000000002</v>
      </c>
      <c r="S34" s="24">
        <f>S11*$B$34</f>
        <v>16.670000000000002</v>
      </c>
    </row>
    <row r="35" spans="1:19" x14ac:dyDescent="0.2">
      <c r="A35" t="s">
        <v>18</v>
      </c>
      <c r="B35" s="5">
        <v>50</v>
      </c>
      <c r="D35" s="9">
        <f>(D12*$B12)</f>
        <v>0</v>
      </c>
      <c r="E35" s="9">
        <f t="shared" ref="E35:H35" si="12">(E12*$B12)</f>
        <v>0</v>
      </c>
      <c r="F35" s="9">
        <f t="shared" si="12"/>
        <v>0</v>
      </c>
      <c r="G35" s="22">
        <f t="shared" si="12"/>
        <v>250</v>
      </c>
      <c r="H35" s="22">
        <f t="shared" si="12"/>
        <v>250</v>
      </c>
      <c r="I35" s="22">
        <v>250</v>
      </c>
      <c r="J35" s="22">
        <v>250</v>
      </c>
      <c r="K35" s="22">
        <v>250</v>
      </c>
      <c r="L35" s="22">
        <v>250</v>
      </c>
      <c r="M35" s="22">
        <v>250</v>
      </c>
      <c r="N35" s="22">
        <v>250</v>
      </c>
      <c r="O35" s="22">
        <v>250</v>
      </c>
      <c r="P35" s="24"/>
      <c r="Q35" s="24">
        <f>(Q12*$B12)</f>
        <v>250</v>
      </c>
      <c r="R35" s="24">
        <f t="shared" ref="R35:S35" si="13">(R12*$B12)</f>
        <v>250</v>
      </c>
      <c r="S35" s="22">
        <f t="shared" si="13"/>
        <v>250</v>
      </c>
    </row>
    <row r="36" spans="1:19" x14ac:dyDescent="0.2">
      <c r="A36" t="s">
        <v>19</v>
      </c>
      <c r="B36" s="5">
        <v>200</v>
      </c>
      <c r="D36" s="9">
        <f>(D13*$B13)</f>
        <v>0</v>
      </c>
      <c r="E36" s="9">
        <f t="shared" ref="E36:G36" si="14">(E13*$B13)</f>
        <v>0</v>
      </c>
      <c r="F36" s="9">
        <f t="shared" si="14"/>
        <v>0</v>
      </c>
      <c r="G36" s="9">
        <f t="shared" si="14"/>
        <v>0</v>
      </c>
      <c r="H36" s="9">
        <f>(H13*$B13)</f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/>
      <c r="Q36" s="9">
        <f t="shared" ref="Q36:S36" si="15">(Q13*$B13)</f>
        <v>0</v>
      </c>
      <c r="R36" s="9">
        <f t="shared" si="15"/>
        <v>0</v>
      </c>
      <c r="S36" s="9">
        <f t="shared" si="15"/>
        <v>0</v>
      </c>
    </row>
    <row r="37" spans="1:19" x14ac:dyDescent="0.2">
      <c r="A37" t="s">
        <v>20</v>
      </c>
      <c r="B37" s="5">
        <v>650</v>
      </c>
      <c r="D37" s="9">
        <f>(D14*$B14)/12</f>
        <v>0</v>
      </c>
      <c r="E37" s="9">
        <f t="shared" ref="E37:H37" si="16">(E14*$B14)/12</f>
        <v>0</v>
      </c>
      <c r="F37" s="9">
        <f t="shared" si="16"/>
        <v>0</v>
      </c>
      <c r="G37" s="9">
        <f>(G14*$B14)</f>
        <v>0</v>
      </c>
      <c r="H37" s="9">
        <f t="shared" si="16"/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2">
        <v>69.999994999999998</v>
      </c>
      <c r="P37" s="9"/>
      <c r="Q37" s="24">
        <f>(Q14*$B14)/12</f>
        <v>70.000125000000011</v>
      </c>
      <c r="R37" s="24">
        <f t="shared" ref="R37:S37" si="17">(R14*$B14)/12</f>
        <v>70.000125000000011</v>
      </c>
      <c r="S37" s="24">
        <f t="shared" si="17"/>
        <v>70.000125000000011</v>
      </c>
    </row>
    <row r="38" spans="1:19" x14ac:dyDescent="0.2">
      <c r="A38" t="s">
        <v>55</v>
      </c>
      <c r="B38" s="5">
        <f>B15</f>
        <v>70</v>
      </c>
      <c r="C38" t="s">
        <v>54</v>
      </c>
      <c r="D38" s="9">
        <v>0</v>
      </c>
      <c r="E38" s="9">
        <f>E15*$B$38</f>
        <v>0</v>
      </c>
      <c r="F38" s="9">
        <f>F15*$B$38</f>
        <v>0</v>
      </c>
      <c r="G38" s="22">
        <f>G15*$B$38</f>
        <v>70</v>
      </c>
      <c r="H38" s="22">
        <f>H15*$B$38</f>
        <v>70</v>
      </c>
      <c r="I38" s="22">
        <v>70</v>
      </c>
      <c r="J38" s="22">
        <v>86.8</v>
      </c>
      <c r="K38" s="22">
        <v>70</v>
      </c>
      <c r="L38" s="22">
        <v>70</v>
      </c>
      <c r="M38" s="22">
        <v>70</v>
      </c>
      <c r="N38" s="24">
        <v>70</v>
      </c>
      <c r="O38" s="24">
        <v>70</v>
      </c>
      <c r="P38" s="24"/>
      <c r="Q38" s="24">
        <f>Q15*$B$38+13</f>
        <v>83</v>
      </c>
      <c r="R38" s="24">
        <f>R15*$B$38</f>
        <v>70</v>
      </c>
      <c r="S38" s="24">
        <f>S15*$B$38</f>
        <v>49.999999000000003</v>
      </c>
    </row>
    <row r="39" spans="1:19" x14ac:dyDescent="0.2">
      <c r="A39" t="s">
        <v>46</v>
      </c>
      <c r="B39" s="5">
        <v>650</v>
      </c>
      <c r="D39" s="22">
        <f>(D16*$B16)-350-50-100</f>
        <v>800</v>
      </c>
      <c r="E39" s="24">
        <f>(E16*$B16)</f>
        <v>0</v>
      </c>
      <c r="F39" s="22">
        <f>(F16*$B16)-530</f>
        <v>120</v>
      </c>
      <c r="G39" s="24">
        <f t="shared" ref="G39:H39" si="18">(G16*$B16)</f>
        <v>0</v>
      </c>
      <c r="H39" s="22">
        <f t="shared" si="18"/>
        <v>592.49998002000007</v>
      </c>
      <c r="I39" s="22">
        <v>162.5</v>
      </c>
      <c r="J39" s="22">
        <v>437.49998499999998</v>
      </c>
      <c r="K39" s="22">
        <v>362.49999500000001</v>
      </c>
      <c r="L39" s="22">
        <v>724.99999000000003</v>
      </c>
      <c r="M39" s="24">
        <v>712.49996999999996</v>
      </c>
      <c r="N39" s="22">
        <v>162.5</v>
      </c>
      <c r="O39" s="22">
        <v>537.49995000000001</v>
      </c>
      <c r="P39" s="9"/>
      <c r="Q39" s="24">
        <f>(Q16*$B16)</f>
        <v>365.62993999999998</v>
      </c>
      <c r="R39" s="24">
        <f t="shared" ref="R39:S40" si="19">(R16*$B16)</f>
        <v>1852.5</v>
      </c>
      <c r="S39" s="24">
        <f t="shared" si="19"/>
        <v>650</v>
      </c>
    </row>
    <row r="40" spans="1:19" x14ac:dyDescent="0.2">
      <c r="A40" t="str">
        <f>A17</f>
        <v>Small Tax Return</v>
      </c>
      <c r="B40" s="5">
        <f>B17</f>
        <v>250</v>
      </c>
      <c r="D40" s="22"/>
      <c r="E40" s="24"/>
      <c r="F40" s="22"/>
      <c r="G40" s="24"/>
      <c r="H40" s="22"/>
      <c r="I40" s="22"/>
      <c r="J40" s="22"/>
      <c r="K40" s="22"/>
      <c r="L40" s="22"/>
      <c r="M40" s="24"/>
      <c r="N40" s="24">
        <v>390</v>
      </c>
      <c r="O40" s="22">
        <v>250</v>
      </c>
      <c r="P40" s="9"/>
      <c r="Q40" s="24">
        <f>(Q17*$B17)</f>
        <v>890</v>
      </c>
      <c r="R40" s="24">
        <f t="shared" si="19"/>
        <v>0</v>
      </c>
      <c r="S40" s="24">
        <f t="shared" si="19"/>
        <v>375</v>
      </c>
    </row>
    <row r="41" spans="1:19" x14ac:dyDescent="0.2">
      <c r="A41" t="s">
        <v>22</v>
      </c>
      <c r="B41" s="3">
        <v>1200</v>
      </c>
      <c r="D41" s="9">
        <f t="shared" ref="D41:E43" si="20">(D18*$B18)</f>
        <v>0</v>
      </c>
      <c r="E41" s="9">
        <f t="shared" si="20"/>
        <v>0</v>
      </c>
      <c r="F41" s="9">
        <f t="shared" ref="F41:G41" si="21">(F18*$B18)</f>
        <v>0</v>
      </c>
      <c r="G41" s="9">
        <f t="shared" si="21"/>
        <v>0</v>
      </c>
      <c r="H41" s="9">
        <f>(H18*$B18)</f>
        <v>0</v>
      </c>
      <c r="I41" s="9">
        <v>0</v>
      </c>
      <c r="J41" s="9">
        <v>0</v>
      </c>
      <c r="K41" s="22">
        <v>600</v>
      </c>
      <c r="L41" s="22">
        <v>200.04</v>
      </c>
      <c r="M41" s="9">
        <v>0</v>
      </c>
      <c r="N41" s="24">
        <v>0</v>
      </c>
      <c r="O41" s="9">
        <v>0</v>
      </c>
      <c r="P41" s="9"/>
      <c r="Q41" s="24">
        <f>(Q18*$B18)</f>
        <v>0</v>
      </c>
      <c r="R41" s="24">
        <f t="shared" ref="R41:S41" si="22">(R18*$B18)</f>
        <v>450</v>
      </c>
      <c r="S41" s="24">
        <f t="shared" si="22"/>
        <v>1299.9959999999999</v>
      </c>
    </row>
    <row r="42" spans="1:19" x14ac:dyDescent="0.2">
      <c r="A42" t="s">
        <v>65</v>
      </c>
      <c r="B42" s="3">
        <v>110</v>
      </c>
      <c r="D42" s="9">
        <f t="shared" si="20"/>
        <v>0</v>
      </c>
      <c r="E42" s="9">
        <f t="shared" si="20"/>
        <v>0</v>
      </c>
      <c r="F42" s="9">
        <f t="shared" ref="F42:H42" si="23">(F19*$B19)</f>
        <v>0</v>
      </c>
      <c r="G42" s="9">
        <f t="shared" si="23"/>
        <v>0</v>
      </c>
      <c r="H42" s="9">
        <f t="shared" si="23"/>
        <v>0</v>
      </c>
      <c r="I42" s="22">
        <v>2199.9956000000002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/>
      <c r="Q42" s="9"/>
      <c r="R42" s="9"/>
      <c r="S42" s="9"/>
    </row>
    <row r="43" spans="1:19" x14ac:dyDescent="0.2">
      <c r="A43" t="s">
        <v>71</v>
      </c>
      <c r="B43" s="5">
        <f>B20</f>
        <v>40</v>
      </c>
      <c r="D43" s="22">
        <f t="shared" si="20"/>
        <v>480</v>
      </c>
      <c r="E43" s="24">
        <f t="shared" si="20"/>
        <v>0</v>
      </c>
      <c r="F43" s="22">
        <f t="shared" ref="F43:H43" si="24">(F20*$B20)</f>
        <v>80</v>
      </c>
      <c r="G43" s="22">
        <v>290</v>
      </c>
      <c r="H43" s="22">
        <f t="shared" si="24"/>
        <v>770</v>
      </c>
      <c r="I43" s="22">
        <v>403.6</v>
      </c>
      <c r="J43" s="22">
        <v>810</v>
      </c>
      <c r="K43" s="22">
        <v>872.5</v>
      </c>
      <c r="L43" s="22">
        <v>811.5</v>
      </c>
      <c r="M43" s="22">
        <v>903.31999999999994</v>
      </c>
      <c r="N43" s="22">
        <v>673.19999999999993</v>
      </c>
      <c r="O43" s="22">
        <v>526.79999999999995</v>
      </c>
      <c r="P43" s="9"/>
      <c r="Q43" s="24">
        <f t="shared" ref="Q43:S43" si="25">(Q20*$B20)</f>
        <v>100</v>
      </c>
      <c r="R43" s="24">
        <f t="shared" si="25"/>
        <v>950</v>
      </c>
      <c r="S43" s="24">
        <f t="shared" si="25"/>
        <v>895</v>
      </c>
    </row>
    <row r="44" spans="1:19" x14ac:dyDescent="0.2">
      <c r="A44" t="s">
        <v>72</v>
      </c>
      <c r="B44" s="5">
        <v>80</v>
      </c>
      <c r="D44" s="22"/>
      <c r="E44" s="24"/>
      <c r="F44" s="22"/>
      <c r="G44" s="22">
        <f>(G21*$B21)</f>
        <v>120</v>
      </c>
      <c r="H44" s="22">
        <f>(H21*$B21)</f>
        <v>554.66399999999999</v>
      </c>
      <c r="I44" s="22">
        <v>360</v>
      </c>
      <c r="J44" s="22">
        <v>1474.9995000000001</v>
      </c>
      <c r="K44" s="22">
        <v>1119.9999749999999</v>
      </c>
      <c r="L44" s="22">
        <v>1009.9994999999999</v>
      </c>
      <c r="M44" s="22">
        <v>1849.9949999999999</v>
      </c>
      <c r="N44" s="22">
        <v>1820.0249999999999</v>
      </c>
      <c r="O44" s="22">
        <v>1852.3500000000001</v>
      </c>
      <c r="P44" s="9">
        <f t="shared" ref="P44:S44" si="26">(P21*$B21)</f>
        <v>0</v>
      </c>
      <c r="Q44" s="22">
        <f t="shared" si="26"/>
        <v>2972.3</v>
      </c>
      <c r="R44" s="24">
        <f t="shared" si="26"/>
        <v>640</v>
      </c>
      <c r="S44" s="22">
        <f t="shared" si="26"/>
        <v>1790</v>
      </c>
    </row>
    <row r="45" spans="1:19" x14ac:dyDescent="0.2">
      <c r="A45" t="s">
        <v>48</v>
      </c>
      <c r="B45" s="3">
        <f>B22</f>
        <v>60</v>
      </c>
      <c r="D45" s="9">
        <f>(D22*$B22)</f>
        <v>0</v>
      </c>
      <c r="E45" s="9">
        <f>(E22*$B22)</f>
        <v>0</v>
      </c>
      <c r="F45" s="22">
        <f>(F22*$B22)</f>
        <v>120</v>
      </c>
      <c r="G45" s="22">
        <f>(G22*$B22)</f>
        <v>120</v>
      </c>
      <c r="H45" s="22">
        <f t="shared" ref="H45:O45" si="27">(H22*$B22)</f>
        <v>218.74799999999999</v>
      </c>
      <c r="I45" s="9">
        <f t="shared" si="27"/>
        <v>0</v>
      </c>
      <c r="J45" s="9">
        <f t="shared" si="27"/>
        <v>0</v>
      </c>
      <c r="K45" s="9">
        <f t="shared" si="27"/>
        <v>0</v>
      </c>
      <c r="L45" s="9">
        <f t="shared" si="27"/>
        <v>0</v>
      </c>
      <c r="M45" s="9">
        <f t="shared" si="27"/>
        <v>0</v>
      </c>
      <c r="N45" s="9">
        <f t="shared" si="27"/>
        <v>0</v>
      </c>
      <c r="O45" s="9">
        <f t="shared" si="27"/>
        <v>0</v>
      </c>
      <c r="P45" s="9"/>
      <c r="Q45" s="9">
        <f t="shared" ref="Q45:S45" si="28">(Q22*$B22)</f>
        <v>0</v>
      </c>
      <c r="R45" s="9">
        <f t="shared" si="28"/>
        <v>0</v>
      </c>
      <c r="S45" s="9">
        <f t="shared" si="28"/>
        <v>0</v>
      </c>
    </row>
    <row r="46" spans="1:19" x14ac:dyDescent="0.2">
      <c r="A46" t="s">
        <v>73</v>
      </c>
      <c r="B46" s="3"/>
      <c r="D46" s="9"/>
      <c r="E46" s="9"/>
      <c r="F46" s="9"/>
      <c r="G46" s="22">
        <v>13</v>
      </c>
      <c r="H46" s="22">
        <v>125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s="2" customFormat="1" x14ac:dyDescent="0.2">
      <c r="A47" s="2" t="s">
        <v>74</v>
      </c>
      <c r="B47" s="4"/>
      <c r="D47" s="19">
        <f t="shared" ref="D47:O47" si="29">SUM(D26:D45)</f>
        <v>1280</v>
      </c>
      <c r="E47" s="19">
        <f t="shared" si="29"/>
        <v>0</v>
      </c>
      <c r="F47" s="19">
        <f t="shared" si="29"/>
        <v>320</v>
      </c>
      <c r="G47" s="19">
        <f>SUM(G26:G46)</f>
        <v>1332.67</v>
      </c>
      <c r="H47" s="19">
        <f>SUM(H26:H46)</f>
        <v>3050.5819800200002</v>
      </c>
      <c r="I47" s="19">
        <f t="shared" si="29"/>
        <v>3915.7656000000002</v>
      </c>
      <c r="J47" s="19">
        <f t="shared" si="29"/>
        <v>3528.9694849999996</v>
      </c>
      <c r="K47" s="19">
        <f t="shared" si="29"/>
        <v>4062.1074283333337</v>
      </c>
      <c r="L47" s="19">
        <f t="shared" si="29"/>
        <v>3853.6469483333331</v>
      </c>
      <c r="M47" s="19">
        <f t="shared" si="29"/>
        <v>4572.9224283333333</v>
      </c>
      <c r="N47" s="19">
        <f t="shared" si="29"/>
        <v>10875.161666666667</v>
      </c>
      <c r="O47" s="19">
        <f t="shared" si="29"/>
        <v>4797.6741116666672</v>
      </c>
      <c r="P47" s="19"/>
      <c r="Q47" s="19">
        <f>SUM(Q26:Q45)</f>
        <v>6046.0500649999994</v>
      </c>
      <c r="R47" s="19">
        <f t="shared" ref="R47" si="30">SUM(R26:R45)</f>
        <v>5523.5404583333329</v>
      </c>
      <c r="S47" s="19">
        <f t="shared" ref="S47" si="31">SUM(S26:S45)</f>
        <v>6324.6661240000003</v>
      </c>
    </row>
    <row r="50" spans="1:19" x14ac:dyDescent="0.2">
      <c r="A50" s="17" t="s">
        <v>75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2">
      <c r="A51" t="s">
        <v>76</v>
      </c>
      <c r="D51" s="21">
        <v>7.99</v>
      </c>
      <c r="E51" s="21">
        <v>7.99</v>
      </c>
      <c r="F51" s="21">
        <v>7.99</v>
      </c>
      <c r="G51" s="21">
        <v>7.99</v>
      </c>
      <c r="H51" s="21">
        <v>7.99</v>
      </c>
      <c r="I51" s="21">
        <v>7.99</v>
      </c>
      <c r="J51" s="21">
        <v>7.99</v>
      </c>
      <c r="K51" s="21">
        <v>7.99</v>
      </c>
      <c r="L51" s="21">
        <v>7.99</v>
      </c>
      <c r="M51" s="21">
        <v>7.99</v>
      </c>
      <c r="N51" s="21">
        <v>7.99</v>
      </c>
      <c r="O51" s="21">
        <v>7.99</v>
      </c>
      <c r="Q51" s="21">
        <v>7.99</v>
      </c>
      <c r="R51" s="21">
        <v>7.99</v>
      </c>
      <c r="S51" s="21">
        <v>7.99</v>
      </c>
    </row>
    <row r="52" spans="1:19" x14ac:dyDescent="0.2">
      <c r="A52" t="s">
        <v>77</v>
      </c>
      <c r="D52">
        <v>0</v>
      </c>
      <c r="E52" s="21">
        <f>25.99-24.01</f>
        <v>1.9799999999999969</v>
      </c>
      <c r="F52" s="21">
        <v>26.09</v>
      </c>
      <c r="G52" s="21">
        <v>25.99</v>
      </c>
      <c r="H52" s="21">
        <v>25.99</v>
      </c>
      <c r="I52" s="21">
        <v>33.14</v>
      </c>
      <c r="J52" s="21">
        <v>38.86</v>
      </c>
      <c r="K52" s="21">
        <v>35.89</v>
      </c>
      <c r="L52" s="21">
        <v>25.99</v>
      </c>
      <c r="M52" s="21">
        <v>25.99</v>
      </c>
      <c r="N52" s="21">
        <v>25.99</v>
      </c>
      <c r="O52" s="21">
        <v>31.38</v>
      </c>
      <c r="Q52" s="21">
        <v>29.21</v>
      </c>
      <c r="R52" s="21">
        <v>27.09</v>
      </c>
      <c r="S52" s="21">
        <v>26.84</v>
      </c>
    </row>
    <row r="53" spans="1:19" x14ac:dyDescent="0.2">
      <c r="A53" t="s">
        <v>78</v>
      </c>
      <c r="D53" s="21">
        <v>108</v>
      </c>
      <c r="E53">
        <v>0</v>
      </c>
      <c r="F53">
        <v>0</v>
      </c>
      <c r="G53">
        <v>0</v>
      </c>
      <c r="H53">
        <v>0</v>
      </c>
      <c r="I53" s="21">
        <v>2.81</v>
      </c>
      <c r="J53" s="21">
        <f>52.75+71.86</f>
        <v>124.61</v>
      </c>
      <c r="K53">
        <v>0</v>
      </c>
      <c r="L53">
        <v>0</v>
      </c>
      <c r="M53">
        <v>0</v>
      </c>
      <c r="N53">
        <v>0</v>
      </c>
      <c r="O53" s="21">
        <f>71.86*2+108</f>
        <v>251.72</v>
      </c>
      <c r="Q53" s="21">
        <v>38.5</v>
      </c>
      <c r="R53">
        <v>0</v>
      </c>
      <c r="S53">
        <v>0</v>
      </c>
    </row>
    <row r="54" spans="1:19" x14ac:dyDescent="0.2">
      <c r="A54" t="s">
        <v>79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 s="21">
        <f>200+4.97+9.96</f>
        <v>214.93</v>
      </c>
      <c r="K54" s="21">
        <v>250</v>
      </c>
      <c r="L54" s="21">
        <v>385</v>
      </c>
      <c r="M54" s="21">
        <f>350+25</f>
        <v>375</v>
      </c>
      <c r="N54" s="21">
        <v>350</v>
      </c>
      <c r="O54" s="21">
        <v>450</v>
      </c>
      <c r="Q54" s="21">
        <v>350</v>
      </c>
      <c r="R54" s="21">
        <f>459.66+500</f>
        <v>959.66000000000008</v>
      </c>
      <c r="S54" s="21">
        <v>350</v>
      </c>
    </row>
    <row r="55" spans="1:19" x14ac:dyDescent="0.2">
      <c r="A55" t="s">
        <v>80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Q55">
        <v>0</v>
      </c>
      <c r="R55">
        <v>0</v>
      </c>
      <c r="S55">
        <v>0</v>
      </c>
    </row>
    <row r="56" spans="1:19" x14ac:dyDescent="0.2">
      <c r="A56" t="s">
        <v>81</v>
      </c>
      <c r="D56" s="21">
        <v>14.39</v>
      </c>
      <c r="E56" s="21">
        <v>14.39</v>
      </c>
      <c r="F56" s="21">
        <v>15.59</v>
      </c>
      <c r="G56" s="21">
        <v>15.59</v>
      </c>
      <c r="H56" s="21">
        <v>15.59</v>
      </c>
      <c r="I56" s="21">
        <v>15.59</v>
      </c>
      <c r="J56" s="21">
        <v>15.59</v>
      </c>
      <c r="K56" s="21">
        <v>15.59</v>
      </c>
      <c r="L56" s="21">
        <v>15.59</v>
      </c>
      <c r="M56" s="21">
        <v>15.59</v>
      </c>
      <c r="N56" s="21">
        <v>15.59</v>
      </c>
      <c r="O56" s="21">
        <v>15.59</v>
      </c>
      <c r="Q56" s="21">
        <v>15.59</v>
      </c>
      <c r="R56" s="21">
        <v>15.59</v>
      </c>
      <c r="S56" s="21">
        <v>15.59</v>
      </c>
    </row>
    <row r="57" spans="1:19" x14ac:dyDescent="0.2">
      <c r="A57" t="s">
        <v>82</v>
      </c>
      <c r="D57">
        <v>0</v>
      </c>
      <c r="E57">
        <v>0</v>
      </c>
      <c r="F57">
        <v>0</v>
      </c>
      <c r="G57" s="21">
        <v>67.849999999999994</v>
      </c>
      <c r="H57" s="21">
        <v>145.35</v>
      </c>
      <c r="I57">
        <v>0</v>
      </c>
      <c r="J57" s="21">
        <v>120.94</v>
      </c>
      <c r="K57" s="21">
        <v>142.82</v>
      </c>
      <c r="L57" s="21">
        <v>92</v>
      </c>
      <c r="M57" s="21">
        <v>28.91</v>
      </c>
      <c r="N57" s="21">
        <v>188.41</v>
      </c>
      <c r="O57" s="21">
        <v>80.849999999999994</v>
      </c>
      <c r="Q57">
        <v>0</v>
      </c>
      <c r="R57" s="21">
        <v>112.73</v>
      </c>
      <c r="S57" s="21">
        <v>212.56</v>
      </c>
    </row>
    <row r="58" spans="1:19" x14ac:dyDescent="0.2">
      <c r="A58" t="s">
        <v>83</v>
      </c>
      <c r="D58" s="21">
        <v>16.8</v>
      </c>
      <c r="E58" s="21">
        <v>16.8</v>
      </c>
      <c r="F58" s="21">
        <v>16.8</v>
      </c>
      <c r="G58" s="21">
        <v>16.8</v>
      </c>
      <c r="H58" s="21">
        <v>33.6</v>
      </c>
      <c r="I58" s="21">
        <v>33.6</v>
      </c>
      <c r="J58" s="21">
        <v>50.96</v>
      </c>
      <c r="K58" s="21">
        <v>82.88</v>
      </c>
      <c r="L58" s="21">
        <v>85.5</v>
      </c>
      <c r="M58" s="21">
        <v>85.5</v>
      </c>
      <c r="N58" s="21">
        <v>85.5</v>
      </c>
      <c r="O58" s="21">
        <v>85.5</v>
      </c>
      <c r="Q58" s="21">
        <v>85.5</v>
      </c>
      <c r="R58" s="21">
        <v>86.78</v>
      </c>
      <c r="S58" s="21">
        <v>91.2</v>
      </c>
    </row>
    <row r="59" spans="1:19" x14ac:dyDescent="0.2">
      <c r="A59" t="s">
        <v>84</v>
      </c>
      <c r="D59" s="21">
        <f>12</f>
        <v>12</v>
      </c>
      <c r="E59" s="21">
        <f>12</f>
        <v>12</v>
      </c>
      <c r="F59" s="21">
        <f>12</f>
        <v>12</v>
      </c>
      <c r="G59" s="21">
        <f>12</f>
        <v>12</v>
      </c>
      <c r="H59" s="21">
        <v>13.2</v>
      </c>
      <c r="I59" s="21">
        <f>13.2+6.24</f>
        <v>19.439999999999998</v>
      </c>
      <c r="J59" s="21">
        <v>28.8</v>
      </c>
      <c r="K59" s="21">
        <v>28.8</v>
      </c>
      <c r="L59" s="21">
        <v>28.8</v>
      </c>
      <c r="M59" s="21">
        <v>28.8</v>
      </c>
      <c r="N59" s="21">
        <v>28.8</v>
      </c>
      <c r="O59" s="21">
        <v>28.8</v>
      </c>
      <c r="Q59" s="21">
        <f>28.8+8.82</f>
        <v>37.620000000000005</v>
      </c>
      <c r="R59" s="21">
        <v>43.2</v>
      </c>
      <c r="S59" s="21">
        <v>43.2</v>
      </c>
    </row>
    <row r="60" spans="1:19" x14ac:dyDescent="0.2">
      <c r="A60" t="s">
        <v>85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 s="21">
        <v>38.4</v>
      </c>
      <c r="K60" s="21">
        <v>38.4</v>
      </c>
      <c r="L60" s="21">
        <v>38.4</v>
      </c>
      <c r="M60" s="21">
        <v>38.4</v>
      </c>
      <c r="N60" s="21">
        <v>38.4</v>
      </c>
      <c r="O60" s="21">
        <v>38.4</v>
      </c>
      <c r="Q60" s="21">
        <v>38.4</v>
      </c>
      <c r="R60" s="21">
        <v>38.4</v>
      </c>
      <c r="S60" s="21">
        <v>38.4</v>
      </c>
    </row>
    <row r="61" spans="1:19" x14ac:dyDescent="0.2">
      <c r="A61" t="s">
        <v>86</v>
      </c>
      <c r="D61" s="21">
        <v>6</v>
      </c>
      <c r="E61" s="21">
        <v>7.2</v>
      </c>
      <c r="F61" s="21">
        <v>28.8</v>
      </c>
      <c r="G61">
        <v>0</v>
      </c>
      <c r="H61" s="21">
        <v>15.6</v>
      </c>
      <c r="I61" s="21">
        <v>12.6</v>
      </c>
      <c r="J61" s="21">
        <v>14.4</v>
      </c>
      <c r="K61">
        <v>0</v>
      </c>
      <c r="L61" s="21">
        <v>22.8</v>
      </c>
      <c r="M61" s="21">
        <v>7.2</v>
      </c>
      <c r="N61" s="21">
        <v>43.2</v>
      </c>
      <c r="O61" s="21">
        <v>14.4</v>
      </c>
      <c r="Q61" s="21">
        <v>21.6</v>
      </c>
      <c r="R61" s="21">
        <v>94.98</v>
      </c>
      <c r="S61" s="21">
        <v>68.400000000000006</v>
      </c>
    </row>
    <row r="62" spans="1:19" x14ac:dyDescent="0.2">
      <c r="A62" t="s">
        <v>87</v>
      </c>
      <c r="D62" s="21"/>
      <c r="E62" s="21">
        <v>12.48</v>
      </c>
      <c r="F62" s="21">
        <v>12.48</v>
      </c>
      <c r="G62" s="21">
        <v>12.09</v>
      </c>
      <c r="H62" s="21">
        <v>12.06</v>
      </c>
      <c r="I62" s="21">
        <v>11.88</v>
      </c>
      <c r="J62" s="21">
        <v>11.46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9" x14ac:dyDescent="0.2">
      <c r="A63" t="s">
        <v>88</v>
      </c>
      <c r="D63" s="21"/>
      <c r="E63" s="21">
        <v>13.4</v>
      </c>
      <c r="F63" s="21">
        <v>13.14</v>
      </c>
      <c r="G63" s="21">
        <v>13.14</v>
      </c>
      <c r="H63" s="21">
        <v>13.14</v>
      </c>
      <c r="I63" s="21">
        <v>13.14</v>
      </c>
      <c r="J63" s="21">
        <v>13.14</v>
      </c>
      <c r="K63" s="21">
        <v>13.14</v>
      </c>
      <c r="L63" s="21">
        <v>13.14</v>
      </c>
      <c r="M63" s="21">
        <v>13.14</v>
      </c>
      <c r="N63" s="21">
        <v>13.14</v>
      </c>
      <c r="O63" s="21">
        <v>13.14</v>
      </c>
      <c r="Q63" s="21">
        <v>13.14</v>
      </c>
      <c r="R63" s="21">
        <v>13.14</v>
      </c>
      <c r="S63" s="21">
        <v>13.14</v>
      </c>
    </row>
    <row r="64" spans="1:19" x14ac:dyDescent="0.2">
      <c r="A64" t="s">
        <v>89</v>
      </c>
      <c r="F64" s="21">
        <f>299*1.2</f>
        <v>358.8</v>
      </c>
    </row>
    <row r="65" spans="1:19" x14ac:dyDescent="0.2">
      <c r="A65" t="s">
        <v>90</v>
      </c>
      <c r="H65" s="21">
        <v>58.8</v>
      </c>
      <c r="I65" s="21">
        <v>58.8</v>
      </c>
      <c r="Q65" s="21">
        <v>64.8</v>
      </c>
      <c r="R65" s="21">
        <v>75.599999999999994</v>
      </c>
      <c r="S65" s="21">
        <v>75.599999999999994</v>
      </c>
    </row>
    <row r="66" spans="1:19" x14ac:dyDescent="0.2">
      <c r="A66" t="s">
        <v>91</v>
      </c>
      <c r="M66" s="21">
        <v>45.15</v>
      </c>
      <c r="N66" s="21">
        <v>40.17</v>
      </c>
      <c r="O66" s="21">
        <v>40.17</v>
      </c>
      <c r="Q66" s="21">
        <v>40.17</v>
      </c>
      <c r="R66" s="21">
        <f>40.17</f>
        <v>40.17</v>
      </c>
      <c r="S66" s="21">
        <v>48.98</v>
      </c>
    </row>
    <row r="67" spans="1:19" x14ac:dyDescent="0.2">
      <c r="A67" t="s">
        <v>92</v>
      </c>
      <c r="L67" s="21">
        <v>71.489999999999995</v>
      </c>
      <c r="M67" s="21">
        <v>72</v>
      </c>
      <c r="N67" s="21">
        <v>71.489999999999995</v>
      </c>
      <c r="O67" s="21">
        <v>71.489999999999995</v>
      </c>
      <c r="Q67" s="21">
        <v>71.489999999999995</v>
      </c>
      <c r="R67" s="21">
        <v>71.489999999999995</v>
      </c>
      <c r="S67" s="21">
        <v>71.489999999999995</v>
      </c>
    </row>
    <row r="68" spans="1:19" x14ac:dyDescent="0.2">
      <c r="A68" t="s">
        <v>93</v>
      </c>
      <c r="Q68" s="21">
        <v>16.45</v>
      </c>
      <c r="R68" s="21">
        <v>18.86</v>
      </c>
      <c r="S68" s="21">
        <v>21.28</v>
      </c>
    </row>
    <row r="69" spans="1:19" x14ac:dyDescent="0.2">
      <c r="A69" t="s">
        <v>94</v>
      </c>
      <c r="H69" s="21">
        <v>30</v>
      </c>
      <c r="I69" s="21">
        <v>30</v>
      </c>
      <c r="J69" s="21">
        <v>30</v>
      </c>
      <c r="K69" s="21">
        <v>30</v>
      </c>
      <c r="L69" s="21">
        <v>30</v>
      </c>
      <c r="M69" s="21">
        <v>30</v>
      </c>
      <c r="N69" s="21">
        <v>55</v>
      </c>
      <c r="O69" s="21">
        <v>55</v>
      </c>
      <c r="Q69" s="21">
        <v>80</v>
      </c>
      <c r="R69" s="21">
        <v>80</v>
      </c>
      <c r="S69" s="21">
        <v>80</v>
      </c>
    </row>
    <row r="70" spans="1:19" x14ac:dyDescent="0.2">
      <c r="A70" t="s">
        <v>95</v>
      </c>
      <c r="H70" s="21"/>
      <c r="I70" s="21"/>
      <c r="K70" s="21">
        <v>103.5</v>
      </c>
      <c r="L70">
        <v>0</v>
      </c>
      <c r="M70" s="21">
        <v>375</v>
      </c>
      <c r="N70">
        <v>0</v>
      </c>
      <c r="O70" s="21">
        <f>225+157.5</f>
        <v>382.5</v>
      </c>
      <c r="Q70">
        <v>0</v>
      </c>
      <c r="R70" s="21">
        <f>240+416.25</f>
        <v>656.25</v>
      </c>
      <c r="S70" s="21">
        <f>180+386.95</f>
        <v>566.95000000000005</v>
      </c>
    </row>
    <row r="71" spans="1:19" x14ac:dyDescent="0.2">
      <c r="A71" t="s">
        <v>73</v>
      </c>
      <c r="F71" s="21">
        <f>249.99+2.49</f>
        <v>252.48000000000002</v>
      </c>
      <c r="G71" s="21">
        <f>30+13.3+42</f>
        <v>85.3</v>
      </c>
      <c r="H71" s="21">
        <f>13</f>
        <v>13</v>
      </c>
      <c r="I71" s="21">
        <f>300+125+74</f>
        <v>499</v>
      </c>
      <c r="J71" s="21">
        <f>90+300+25.6+13</f>
        <v>428.6</v>
      </c>
      <c r="K71" s="21">
        <f>250.06+6.6+23.7-71.85</f>
        <v>208.51000000000002</v>
      </c>
      <c r="L71" s="21">
        <f>13+92+9.9+5+0.5+13.2+39.95+2.49+7.75+15+59.03+2.49+29.8+3.75+10</f>
        <v>303.86000000000007</v>
      </c>
      <c r="M71" s="21">
        <f>13+6+6+59.04+220</f>
        <v>304.03999999999996</v>
      </c>
      <c r="N71" s="21">
        <f>163.5+118.8+22.57+3+15+13+6.8+6.1+9.59+10+3+1+3.3+3.7+3.7+31.4+47.93+133.04-77.65</f>
        <v>517.78</v>
      </c>
      <c r="O71" s="21">
        <f>59.85+35+12.13+6+15.65+12.13+1.95+13+25+12+5.6+31.4+6.5+0.5+17.2+13+33.07</f>
        <v>299.97999999999996</v>
      </c>
      <c r="Q71" s="21">
        <v>567.77</v>
      </c>
      <c r="R71" s="21">
        <f>20.25+49.35+7.3+5.9+13+13+13+31.59+31.59+12.8+114.92+5.44+50+50+1.66</f>
        <v>419.8</v>
      </c>
      <c r="S71" s="21">
        <f>8+13+13+13+150+150+73.14+13+51.93+354+4.93</f>
        <v>843.99999999999989</v>
      </c>
    </row>
    <row r="72" spans="1:19" x14ac:dyDescent="0.2">
      <c r="A72" t="s">
        <v>96</v>
      </c>
      <c r="Q72" s="21">
        <f>31.2+75</f>
        <v>106.2</v>
      </c>
    </row>
    <row r="73" spans="1:19" x14ac:dyDescent="0.2">
      <c r="A73" t="s">
        <v>97</v>
      </c>
      <c r="D73" s="21">
        <v>406</v>
      </c>
      <c r="E73" s="21">
        <v>594</v>
      </c>
      <c r="F73" s="21">
        <f>((246*0.45)*2)+50</f>
        <v>271.39999999999998</v>
      </c>
      <c r="N73" s="21">
        <v>240</v>
      </c>
      <c r="O73" s="21">
        <v>349</v>
      </c>
      <c r="Q73" s="21">
        <f>418</f>
        <v>418</v>
      </c>
      <c r="S73" s="21">
        <v>534</v>
      </c>
    </row>
    <row r="74" spans="1:19" s="2" customFormat="1" x14ac:dyDescent="0.2">
      <c r="A74" s="2" t="s">
        <v>98</v>
      </c>
      <c r="D74" s="19">
        <f>SUM(D51:D73)</f>
        <v>571.18000000000006</v>
      </c>
      <c r="E74" s="19">
        <f t="shared" ref="E74:O74" si="32">SUM(E51:E73)</f>
        <v>680.24</v>
      </c>
      <c r="F74" s="19">
        <f t="shared" si="32"/>
        <v>1015.57</v>
      </c>
      <c r="G74" s="19">
        <f t="shared" si="32"/>
        <v>256.75</v>
      </c>
      <c r="H74" s="19">
        <f t="shared" si="32"/>
        <v>384.32</v>
      </c>
      <c r="I74" s="19">
        <f t="shared" si="32"/>
        <v>737.99</v>
      </c>
      <c r="J74" s="19">
        <f>SUM(J51:J73)</f>
        <v>1138.6799999999998</v>
      </c>
      <c r="K74" s="19">
        <f t="shared" si="32"/>
        <v>957.51999999999987</v>
      </c>
      <c r="L74" s="19">
        <f t="shared" si="32"/>
        <v>1120.56</v>
      </c>
      <c r="M74" s="19">
        <f t="shared" si="32"/>
        <v>1452.71</v>
      </c>
      <c r="N74" s="19">
        <f t="shared" si="32"/>
        <v>1721.46</v>
      </c>
      <c r="O74" s="19">
        <f t="shared" si="32"/>
        <v>2215.91</v>
      </c>
      <c r="P74" s="19"/>
      <c r="Q74" s="19">
        <f t="shared" ref="Q74" si="33">SUM(Q51:Q73)</f>
        <v>2002.43</v>
      </c>
      <c r="R74" s="19">
        <f t="shared" ref="R74" si="34">SUM(R51:R73)</f>
        <v>2761.7300000000005</v>
      </c>
      <c r="S74" s="19">
        <f>SUM(S51:S73)</f>
        <v>3109.62</v>
      </c>
    </row>
    <row r="76" spans="1:19" x14ac:dyDescent="0.2">
      <c r="A76" s="2" t="s">
        <v>99</v>
      </c>
      <c r="B76" s="2"/>
      <c r="C76" s="2"/>
      <c r="D76" s="19">
        <f t="shared" ref="D76:O76" si="35">D47-D74</f>
        <v>708.81999999999994</v>
      </c>
      <c r="E76" s="19">
        <f t="shared" si="35"/>
        <v>-680.24</v>
      </c>
      <c r="F76" s="19">
        <f t="shared" si="35"/>
        <v>-695.57</v>
      </c>
      <c r="G76" s="19">
        <f t="shared" si="35"/>
        <v>1075.92</v>
      </c>
      <c r="H76" s="19">
        <f t="shared" si="35"/>
        <v>2666.26198002</v>
      </c>
      <c r="I76" s="19">
        <f t="shared" si="35"/>
        <v>3177.7755999999999</v>
      </c>
      <c r="J76" s="19">
        <f>J47-J74</f>
        <v>2390.2894849999998</v>
      </c>
      <c r="K76" s="19">
        <f t="shared" si="35"/>
        <v>3104.5874283333337</v>
      </c>
      <c r="L76" s="19">
        <f t="shared" si="35"/>
        <v>2733.0869483333331</v>
      </c>
      <c r="M76" s="19">
        <f t="shared" si="35"/>
        <v>3120.2124283333333</v>
      </c>
      <c r="N76" s="19">
        <f t="shared" si="35"/>
        <v>9153.7016666666677</v>
      </c>
      <c r="O76" s="19">
        <f t="shared" si="35"/>
        <v>2581.7641116666673</v>
      </c>
      <c r="P76" s="19"/>
      <c r="Q76" s="19">
        <f t="shared" ref="Q76:S76" si="36">Q47-Q74</f>
        <v>4043.6200649999992</v>
      </c>
      <c r="R76" s="19">
        <f t="shared" si="36"/>
        <v>2761.8104583333325</v>
      </c>
      <c r="S76" s="19">
        <f t="shared" si="36"/>
        <v>3215.0461240000004</v>
      </c>
    </row>
    <row r="78" spans="1:19" x14ac:dyDescent="0.2">
      <c r="A78" s="17" t="s">
        <v>100</v>
      </c>
    </row>
    <row r="79" spans="1:19" x14ac:dyDescent="0.2">
      <c r="A79" t="s">
        <v>101</v>
      </c>
      <c r="D79">
        <v>2008.43</v>
      </c>
      <c r="E79" s="9">
        <f>D86</f>
        <v>2717.25</v>
      </c>
      <c r="F79" s="9">
        <f t="shared" ref="F79:S79" si="37">E86</f>
        <v>2037.01</v>
      </c>
      <c r="G79" s="9">
        <f t="shared" si="37"/>
        <v>1341.44</v>
      </c>
      <c r="H79" s="9">
        <f t="shared" si="37"/>
        <v>1855.01</v>
      </c>
      <c r="I79" s="9">
        <f t="shared" si="37"/>
        <v>2476.0919800199999</v>
      </c>
      <c r="J79" s="9">
        <f t="shared" si="37"/>
        <v>3101.3675800199999</v>
      </c>
      <c r="K79" s="9">
        <f t="shared" si="37"/>
        <v>1562.7475800199995</v>
      </c>
      <c r="L79" s="9">
        <f t="shared" si="37"/>
        <v>2110.3044933533329</v>
      </c>
      <c r="M79" s="9">
        <f t="shared" si="37"/>
        <v>1486.291951686665</v>
      </c>
      <c r="N79" s="9">
        <f t="shared" si="37"/>
        <v>2856.1838700199996</v>
      </c>
      <c r="O79" s="9">
        <f t="shared" si="37"/>
        <v>1846.02</v>
      </c>
      <c r="P79" s="9"/>
      <c r="Q79" s="9">
        <f>O86</f>
        <v>1970.4841116666685</v>
      </c>
      <c r="R79" s="9">
        <f t="shared" si="37"/>
        <v>2373.5441766666677</v>
      </c>
      <c r="S79" s="9">
        <f t="shared" si="37"/>
        <v>512.17463500000031</v>
      </c>
    </row>
    <row r="80" spans="1:19" x14ac:dyDescent="0.2">
      <c r="A80" t="s">
        <v>99</v>
      </c>
      <c r="D80" s="9">
        <f>D76</f>
        <v>708.81999999999994</v>
      </c>
      <c r="E80" s="9">
        <f t="shared" ref="E80:S80" si="38">E76</f>
        <v>-680.24</v>
      </c>
      <c r="F80" s="9">
        <f t="shared" si="38"/>
        <v>-695.57</v>
      </c>
      <c r="G80" s="9">
        <f t="shared" si="38"/>
        <v>1075.92</v>
      </c>
      <c r="H80" s="9">
        <f t="shared" si="38"/>
        <v>2666.26198002</v>
      </c>
      <c r="I80" s="9">
        <f t="shared" si="38"/>
        <v>3177.7755999999999</v>
      </c>
      <c r="J80" s="9">
        <f>J76-68.91</f>
        <v>2321.3794849999999</v>
      </c>
      <c r="K80" s="9">
        <f t="shared" si="38"/>
        <v>3104.5874283333337</v>
      </c>
      <c r="L80" s="9">
        <f t="shared" si="38"/>
        <v>2733.0869483333331</v>
      </c>
      <c r="M80" s="9">
        <f t="shared" si="38"/>
        <v>3120.2124283333333</v>
      </c>
      <c r="N80" s="9">
        <f t="shared" si="38"/>
        <v>9153.7016666666677</v>
      </c>
      <c r="O80" s="9">
        <f t="shared" si="38"/>
        <v>2581.7641116666673</v>
      </c>
      <c r="P80" s="9"/>
      <c r="Q80" s="9">
        <f t="shared" si="38"/>
        <v>4043.6200649999992</v>
      </c>
      <c r="R80" s="9">
        <f t="shared" si="38"/>
        <v>2761.8104583333325</v>
      </c>
      <c r="S80" s="9">
        <f t="shared" si="38"/>
        <v>3215.0461240000004</v>
      </c>
    </row>
    <row r="81" spans="1:19" x14ac:dyDescent="0.2">
      <c r="A81" t="s">
        <v>102</v>
      </c>
      <c r="D81" s="9"/>
      <c r="E81" s="9"/>
      <c r="F81" s="9"/>
      <c r="G81" s="9"/>
      <c r="H81" s="22">
        <f>954.67-34.85</f>
        <v>919.81999999999994</v>
      </c>
      <c r="I81" s="22">
        <f>H85</f>
        <v>1245</v>
      </c>
      <c r="J81" s="22">
        <f>I85</f>
        <v>637.5</v>
      </c>
      <c r="K81" s="9">
        <f>J85</f>
        <v>2097.4994849999998</v>
      </c>
      <c r="L81" s="9">
        <f>K85</f>
        <v>2202.0699999999997</v>
      </c>
      <c r="M81" s="9">
        <f t="shared" ref="M81:O81" si="39">L85</f>
        <v>2959.1694900000011</v>
      </c>
      <c r="N81" s="9">
        <f t="shared" si="39"/>
        <v>1634.49</v>
      </c>
      <c r="O81" s="9">
        <f t="shared" si="39"/>
        <v>5818.76</v>
      </c>
      <c r="P81" s="9"/>
      <c r="Q81" s="9">
        <f>O85+85.6-30</f>
        <v>1990.4599999999998</v>
      </c>
      <c r="R81" s="9">
        <f>Q85</f>
        <v>1486.02</v>
      </c>
      <c r="S81" s="9">
        <f>R85</f>
        <v>4609.2</v>
      </c>
    </row>
    <row r="82" spans="1:19" x14ac:dyDescent="0.2">
      <c r="A82" t="s">
        <v>103</v>
      </c>
      <c r="D82">
        <v>0</v>
      </c>
      <c r="E82">
        <v>0</v>
      </c>
      <c r="F82">
        <v>0</v>
      </c>
      <c r="G82">
        <v>0</v>
      </c>
      <c r="H82">
        <f>500+220+1000</f>
        <v>1720</v>
      </c>
      <c r="I82">
        <f>2800+360</f>
        <v>3160</v>
      </c>
      <c r="J82" s="21">
        <v>2400</v>
      </c>
      <c r="K82" s="21">
        <f>117.46+1185+1400-250</f>
        <v>2452.46</v>
      </c>
      <c r="L82" s="21">
        <v>2600</v>
      </c>
      <c r="M82" s="21">
        <f>225+2700+150</f>
        <v>3075</v>
      </c>
      <c r="N82" s="21">
        <f>100+300+100+2700+200+200</f>
        <v>3600</v>
      </c>
      <c r="O82" s="21">
        <f>3398.2+1800</f>
        <v>5198.2</v>
      </c>
      <c r="Q82" s="21">
        <f>2900+250</f>
        <v>3150</v>
      </c>
      <c r="R82" s="21">
        <v>1500</v>
      </c>
      <c r="S82" s="21">
        <v>3500</v>
      </c>
    </row>
    <row r="83" spans="1:19" x14ac:dyDescent="0.2">
      <c r="A83" t="s">
        <v>104</v>
      </c>
      <c r="N83" s="21">
        <v>375</v>
      </c>
      <c r="O83" s="21">
        <v>375</v>
      </c>
      <c r="Q83" s="21">
        <v>375</v>
      </c>
      <c r="R83">
        <v>0</v>
      </c>
      <c r="S83" s="21">
        <v>375</v>
      </c>
    </row>
    <row r="84" spans="1:19" x14ac:dyDescent="0.2">
      <c r="A84" t="s">
        <v>105</v>
      </c>
      <c r="O84" s="21">
        <v>768</v>
      </c>
      <c r="Q84" s="21">
        <v>620</v>
      </c>
      <c r="R84">
        <v>0</v>
      </c>
      <c r="S84" s="21">
        <v>620</v>
      </c>
    </row>
    <row r="85" spans="1:19" x14ac:dyDescent="0.2">
      <c r="A85" t="s">
        <v>106</v>
      </c>
      <c r="G85" s="9">
        <f>G28+G35+G34+G38</f>
        <v>561.67000000000007</v>
      </c>
      <c r="H85" s="9">
        <f>H35+H28+H43+H42</f>
        <v>1245</v>
      </c>
      <c r="I85" s="9">
        <f>I35+I28+162.5</f>
        <v>637.5</v>
      </c>
      <c r="J85" s="9">
        <f>J43+J35+J28+J44+J39-1100</f>
        <v>2097.4994849999998</v>
      </c>
      <c r="K85" s="9">
        <f>K28+K35+K41+K43+16.8+16.8+16.8+162.5+51.67-10</f>
        <v>2202.0699999999997</v>
      </c>
      <c r="L85" s="9">
        <f>L44+L43+L39+L28+73.96+16.8+16.8+16.8+16.8+51.67-5.16</f>
        <v>2959.1694900000011</v>
      </c>
      <c r="M85" s="9">
        <f>M43+M35+M28+162.5+73.96+19.71</f>
        <v>1634.49</v>
      </c>
      <c r="N85" s="28">
        <v>5818.76</v>
      </c>
      <c r="O85" s="9">
        <v>1934.86</v>
      </c>
      <c r="Q85" s="9">
        <f>2145.62+225+74.09-280-100-350-250+21.31</f>
        <v>1486.02</v>
      </c>
      <c r="R85">
        <f>4692.45-83.25</f>
        <v>4609.2</v>
      </c>
      <c r="S85" s="9">
        <f>16.8+13+46.41+13+51.67+13+650+225+350+710+650</f>
        <v>2738.88</v>
      </c>
    </row>
    <row r="86" spans="1:19" s="2" customFormat="1" x14ac:dyDescent="0.2">
      <c r="A86" s="2" t="s">
        <v>107</v>
      </c>
      <c r="D86" s="19">
        <f>D79+D80-D82+D81-D85</f>
        <v>2717.25</v>
      </c>
      <c r="E86" s="19">
        <f t="shared" ref="E86:M86" si="40">E79+E80-E82+E81-E85</f>
        <v>2037.01</v>
      </c>
      <c r="F86" s="19">
        <f t="shared" si="40"/>
        <v>1341.44</v>
      </c>
      <c r="G86" s="19">
        <v>1855.01</v>
      </c>
      <c r="H86" s="19">
        <f>H79+H80-H82+H81-H85</f>
        <v>2476.0919800199999</v>
      </c>
      <c r="I86" s="19">
        <f t="shared" si="40"/>
        <v>3101.3675800199999</v>
      </c>
      <c r="J86" s="19">
        <f>J79+J80-J82+J81-J85</f>
        <v>1562.7475800199995</v>
      </c>
      <c r="K86" s="19">
        <f>K79+K80-K82+K81-K85</f>
        <v>2110.3044933533329</v>
      </c>
      <c r="L86" s="19">
        <f t="shared" si="40"/>
        <v>1486.291951686665</v>
      </c>
      <c r="M86" s="19">
        <f t="shared" si="40"/>
        <v>2856.1838700199996</v>
      </c>
      <c r="N86" s="19">
        <v>1846.02</v>
      </c>
      <c r="O86" s="19">
        <f>O79+O80-O82+O81-O85-O83-O84</f>
        <v>1970.4841116666685</v>
      </c>
      <c r="P86" s="19"/>
      <c r="Q86" s="19">
        <f>Q79+Q80-Q82+Q81-Q85-Q83-Q84</f>
        <v>2373.5441766666677</v>
      </c>
      <c r="R86" s="19">
        <f t="shared" ref="R86:S86" si="41">R79+R80-R82+R81-R85-R83-R84</f>
        <v>512.17463500000031</v>
      </c>
      <c r="S86" s="19">
        <f t="shared" si="41"/>
        <v>1102.5407590000004</v>
      </c>
    </row>
    <row r="88" spans="1:19" x14ac:dyDescent="0.2">
      <c r="A88" t="s">
        <v>108</v>
      </c>
      <c r="N88">
        <v>2006.03</v>
      </c>
      <c r="O88">
        <f>4021.73-1150-200+1800</f>
        <v>4471.7299999999996</v>
      </c>
      <c r="Q88" s="21">
        <f>O88+250-260+9.63-1000-1500-400+Q82-300-250</f>
        <v>4171.3599999999997</v>
      </c>
      <c r="R88">
        <f>Q88-2750+1500-300</f>
        <v>2621.3599999999997</v>
      </c>
      <c r="S88" s="21">
        <f>R88-100+S82+8.88-150-1250-500-450+96.21</f>
        <v>3776.45</v>
      </c>
    </row>
    <row r="89" spans="1:19" x14ac:dyDescent="0.2">
      <c r="A89" t="s">
        <v>109</v>
      </c>
      <c r="N89" s="9">
        <f>N84</f>
        <v>0</v>
      </c>
      <c r="O89" s="9">
        <f>N89+O84</f>
        <v>768</v>
      </c>
      <c r="P89" s="9"/>
      <c r="Q89" s="22">
        <f>P89+Q84+O89</f>
        <v>1388</v>
      </c>
      <c r="R89" s="9">
        <f t="shared" ref="R89" si="42">Q89+R84</f>
        <v>1388</v>
      </c>
      <c r="S89" s="22">
        <f>R89+S84</f>
        <v>2008</v>
      </c>
    </row>
    <row r="90" spans="1:19" x14ac:dyDescent="0.2">
      <c r="A90" t="s">
        <v>110</v>
      </c>
      <c r="N90" s="9">
        <v>375</v>
      </c>
      <c r="O90" s="9">
        <f>N90+O83</f>
        <v>750</v>
      </c>
      <c r="P90" s="9"/>
      <c r="Q90" s="22">
        <f>O90+Q83</f>
        <v>1125</v>
      </c>
      <c r="R90" s="9">
        <f>Q90+R83</f>
        <v>1125</v>
      </c>
      <c r="S90" s="22">
        <f>R90+S83</f>
        <v>1500</v>
      </c>
    </row>
    <row r="91" spans="1:19" x14ac:dyDescent="0.2">
      <c r="A91" s="23"/>
      <c r="B91" t="s">
        <v>111</v>
      </c>
    </row>
    <row r="92" spans="1:19" x14ac:dyDescent="0.2">
      <c r="A92" s="25"/>
      <c r="B92" t="s">
        <v>112</v>
      </c>
    </row>
    <row r="93" spans="1:19" x14ac:dyDescent="0.2">
      <c r="A93" s="21"/>
      <c r="B93" t="s">
        <v>113</v>
      </c>
    </row>
    <row r="95" spans="1:19" x14ac:dyDescent="0.2">
      <c r="A95">
        <v>200</v>
      </c>
      <c r="R95">
        <v>512.16999999999996</v>
      </c>
    </row>
    <row r="96" spans="1:19" x14ac:dyDescent="0.2">
      <c r="A96" t="s">
        <v>114</v>
      </c>
      <c r="R96" s="9">
        <f>R95-R86</f>
        <v>-4.6350000003485547E-3</v>
      </c>
    </row>
    <row r="97" spans="1:1" x14ac:dyDescent="0.2">
      <c r="A97" t="s">
        <v>115</v>
      </c>
    </row>
    <row r="98" spans="1:1" x14ac:dyDescent="0.2">
      <c r="A98" t="s">
        <v>116</v>
      </c>
    </row>
    <row r="99" spans="1:1" x14ac:dyDescent="0.2">
      <c r="A99" t="s">
        <v>117</v>
      </c>
    </row>
    <row r="101" spans="1:1" x14ac:dyDescent="0.2">
      <c r="A101" t="s">
        <v>118</v>
      </c>
    </row>
    <row r="102" spans="1:1" x14ac:dyDescent="0.2">
      <c r="A102" t="s">
        <v>119</v>
      </c>
    </row>
    <row r="104" spans="1:1" x14ac:dyDescent="0.2">
      <c r="A104" t="s">
        <v>120</v>
      </c>
    </row>
    <row r="105" spans="1:1" x14ac:dyDescent="0.2">
      <c r="A105" t="s">
        <v>121</v>
      </c>
    </row>
    <row r="106" spans="1:1" x14ac:dyDescent="0.2">
      <c r="A106" t="s">
        <v>122</v>
      </c>
    </row>
  </sheetData>
  <mergeCells count="1">
    <mergeCell ref="D1:O1"/>
  </mergeCells>
  <pageMargins left="0.7" right="0.7" top="0.75" bottom="0.75" header="0.3" footer="0.3"/>
  <pageSetup orientation="portrait" r:id="rId1"/>
  <ignoredErrors>
    <ignoredError sqref="Q79 G47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C600-37E9-44BC-A5A5-00DEE06EC438}">
  <dimension ref="A1:O70"/>
  <sheetViews>
    <sheetView tabSelected="1" zoomScale="90" zoomScaleNormal="90" workbookViewId="0">
      <pane xSplit="2" ySplit="5" topLeftCell="C6" activePane="bottomRight" state="frozen"/>
      <selection pane="topRight" activeCell="G1" sqref="G1"/>
      <selection pane="bottomLeft" activeCell="A3" sqref="A3"/>
      <selection pane="bottomRight" activeCell="H8" sqref="H8"/>
    </sheetView>
  </sheetViews>
  <sheetFormatPr baseColWidth="10" defaultColWidth="8.83203125" defaultRowHeight="15" outlineLevelRow="1" x14ac:dyDescent="0.2"/>
  <cols>
    <col min="1" max="1" width="31.5" customWidth="1"/>
    <col min="3" max="11" width="10.83203125" customWidth="1"/>
    <col min="12" max="14" width="10" bestFit="1" customWidth="1"/>
    <col min="15" max="15" width="11" bestFit="1" customWidth="1"/>
  </cols>
  <sheetData>
    <row r="1" spans="1:14" x14ac:dyDescent="0.2">
      <c r="C1" s="33" t="s">
        <v>208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x14ac:dyDescent="0.2">
      <c r="A5" s="2" t="s">
        <v>200</v>
      </c>
      <c r="B5" s="6" t="s">
        <v>50</v>
      </c>
      <c r="C5" s="7">
        <v>45748</v>
      </c>
      <c r="D5" s="7">
        <v>45778</v>
      </c>
      <c r="E5" s="7">
        <v>45809</v>
      </c>
      <c r="F5" s="7">
        <v>45839</v>
      </c>
      <c r="G5" s="7">
        <v>45870</v>
      </c>
      <c r="H5" s="7">
        <v>45901</v>
      </c>
      <c r="I5" s="7">
        <v>45931</v>
      </c>
      <c r="J5" s="7">
        <v>45962</v>
      </c>
      <c r="K5" s="7">
        <v>45992</v>
      </c>
      <c r="L5" s="7">
        <v>46023</v>
      </c>
      <c r="M5" s="7">
        <v>46054</v>
      </c>
      <c r="N5" s="7">
        <v>46082</v>
      </c>
    </row>
    <row r="6" spans="1:14" x14ac:dyDescent="0.2">
      <c r="B6" s="3"/>
    </row>
    <row r="7" spans="1:14" x14ac:dyDescent="0.2">
      <c r="B7" s="3"/>
    </row>
    <row r="8" spans="1:14" x14ac:dyDescent="0.2">
      <c r="B8" s="3"/>
    </row>
    <row r="9" spans="1:14" x14ac:dyDescent="0.2">
      <c r="B9" s="3"/>
    </row>
    <row r="10" spans="1:14" x14ac:dyDescent="0.2">
      <c r="B10" s="3"/>
    </row>
    <row r="11" spans="1:14" x14ac:dyDescent="0.2">
      <c r="B11" s="3"/>
    </row>
    <row r="12" spans="1:14" x14ac:dyDescent="0.2">
      <c r="B12" s="3"/>
    </row>
    <row r="13" spans="1:14" x14ac:dyDescent="0.2">
      <c r="B13" s="3"/>
    </row>
    <row r="14" spans="1:14" x14ac:dyDescent="0.2">
      <c r="C14" s="2">
        <f t="shared" ref="C14:N14" si="0">SUM(C6:C13)</f>
        <v>0</v>
      </c>
      <c r="D14" s="2">
        <f t="shared" si="0"/>
        <v>0</v>
      </c>
      <c r="E14" s="2">
        <f t="shared" si="0"/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</row>
    <row r="16" spans="1:14" x14ac:dyDescent="0.2">
      <c r="A16" s="17" t="s">
        <v>201</v>
      </c>
    </row>
    <row r="17" spans="1:15" x14ac:dyDescent="0.2">
      <c r="B17" s="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5" x14ac:dyDescent="0.2">
      <c r="B18" s="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5" x14ac:dyDescent="0.2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5" x14ac:dyDescent="0.2">
      <c r="B20" s="3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5" x14ac:dyDescent="0.2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x14ac:dyDescent="0.2">
      <c r="B22" s="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x14ac:dyDescent="0.2">
      <c r="B23" s="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 x14ac:dyDescent="0.2"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5" x14ac:dyDescent="0.2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2"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ht="16" thickBot="1" x14ac:dyDescent="0.25">
      <c r="C27" s="31">
        <f t="shared" ref="C27:N27" si="1">SUM(C17:C26)</f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31">
        <f t="shared" si="1"/>
        <v>0</v>
      </c>
      <c r="I27" s="31">
        <f t="shared" si="1"/>
        <v>0</v>
      </c>
      <c r="J27" s="31">
        <f t="shared" si="1"/>
        <v>0</v>
      </c>
      <c r="K27" s="31">
        <f t="shared" si="1"/>
        <v>0</v>
      </c>
      <c r="L27" s="31">
        <f t="shared" si="1"/>
        <v>0</v>
      </c>
      <c r="M27" s="31">
        <f t="shared" si="1"/>
        <v>0</v>
      </c>
      <c r="N27" s="31">
        <f t="shared" si="1"/>
        <v>0</v>
      </c>
      <c r="O27" s="9"/>
    </row>
    <row r="29" spans="1:15" x14ac:dyDescent="0.2">
      <c r="A29" s="17" t="s">
        <v>75</v>
      </c>
      <c r="C29" s="9"/>
      <c r="D29" s="9"/>
      <c r="E29" s="9"/>
      <c r="F29" s="9"/>
      <c r="G29" s="9"/>
      <c r="H29" s="9"/>
      <c r="I29" s="9"/>
      <c r="J29" s="9"/>
      <c r="K29" s="9"/>
    </row>
    <row r="30" spans="1:15" x14ac:dyDescent="0.2">
      <c r="A30" s="2" t="s">
        <v>123</v>
      </c>
      <c r="C30" s="29">
        <f t="shared" ref="C30:N30" si="2">SUM(C31:C35)</f>
        <v>0</v>
      </c>
      <c r="D30" s="29">
        <f t="shared" si="2"/>
        <v>0</v>
      </c>
      <c r="E30" s="29">
        <f t="shared" si="2"/>
        <v>0</v>
      </c>
      <c r="F30" s="29">
        <f t="shared" si="2"/>
        <v>0</v>
      </c>
      <c r="G30" s="29">
        <f t="shared" si="2"/>
        <v>0</v>
      </c>
      <c r="H30" s="29">
        <f t="shared" si="2"/>
        <v>0</v>
      </c>
      <c r="I30" s="29">
        <f t="shared" si="2"/>
        <v>0</v>
      </c>
      <c r="J30" s="29">
        <f t="shared" si="2"/>
        <v>0</v>
      </c>
      <c r="K30" s="29">
        <f t="shared" si="2"/>
        <v>0</v>
      </c>
      <c r="L30" s="29">
        <f t="shared" si="2"/>
        <v>0</v>
      </c>
      <c r="M30" s="29">
        <f t="shared" si="2"/>
        <v>0</v>
      </c>
      <c r="N30" s="29">
        <f t="shared" si="2"/>
        <v>0</v>
      </c>
    </row>
    <row r="31" spans="1:15" outlineLevel="1" x14ac:dyDescent="0.2">
      <c r="A31" t="s">
        <v>81</v>
      </c>
    </row>
    <row r="32" spans="1:15" outlineLevel="1" x14ac:dyDescent="0.2">
      <c r="A32" t="s">
        <v>88</v>
      </c>
    </row>
    <row r="33" spans="1:14" outlineLevel="1" x14ac:dyDescent="0.2">
      <c r="A33" t="s">
        <v>76</v>
      </c>
    </row>
    <row r="34" spans="1:14" outlineLevel="1" x14ac:dyDescent="0.2">
      <c r="A34" t="s">
        <v>83</v>
      </c>
    </row>
    <row r="35" spans="1:14" outlineLevel="1" x14ac:dyDescent="0.2">
      <c r="A35" t="s">
        <v>124</v>
      </c>
    </row>
    <row r="36" spans="1:14" x14ac:dyDescent="0.2">
      <c r="A36" s="2" t="s">
        <v>125</v>
      </c>
      <c r="C36" s="30">
        <f t="shared" ref="C36:N36" si="3">SUM(C37:C39)</f>
        <v>0</v>
      </c>
      <c r="D36" s="30">
        <f t="shared" si="3"/>
        <v>0</v>
      </c>
      <c r="E36" s="30">
        <f t="shared" si="3"/>
        <v>0</v>
      </c>
      <c r="F36" s="30">
        <f t="shared" si="3"/>
        <v>0</v>
      </c>
      <c r="G36" s="30">
        <f t="shared" si="3"/>
        <v>0</v>
      </c>
      <c r="H36" s="30">
        <f t="shared" si="3"/>
        <v>0</v>
      </c>
      <c r="I36" s="30">
        <f t="shared" si="3"/>
        <v>0</v>
      </c>
      <c r="J36" s="30">
        <f t="shared" si="3"/>
        <v>0</v>
      </c>
      <c r="K36" s="30">
        <f t="shared" si="3"/>
        <v>0</v>
      </c>
      <c r="L36" s="30">
        <f t="shared" si="3"/>
        <v>0</v>
      </c>
      <c r="M36" s="30">
        <f t="shared" si="3"/>
        <v>0</v>
      </c>
      <c r="N36" s="30">
        <f t="shared" si="3"/>
        <v>0</v>
      </c>
    </row>
    <row r="37" spans="1:14" outlineLevel="1" x14ac:dyDescent="0.2">
      <c r="A37" t="s">
        <v>78</v>
      </c>
    </row>
    <row r="38" spans="1:14" outlineLevel="1" x14ac:dyDescent="0.2">
      <c r="A38" t="s">
        <v>205</v>
      </c>
    </row>
    <row r="39" spans="1:14" outlineLevel="1" x14ac:dyDescent="0.2">
      <c r="A39" t="s">
        <v>206</v>
      </c>
    </row>
    <row r="40" spans="1:14" x14ac:dyDescent="0.2">
      <c r="A40" s="2" t="s">
        <v>126</v>
      </c>
      <c r="C40" s="30">
        <f t="shared" ref="C40:N40" si="4">SUM(C41:C53)</f>
        <v>0</v>
      </c>
      <c r="D40" s="30">
        <f t="shared" si="4"/>
        <v>0</v>
      </c>
      <c r="E40" s="30">
        <f t="shared" si="4"/>
        <v>0</v>
      </c>
      <c r="F40" s="30">
        <f t="shared" si="4"/>
        <v>0</v>
      </c>
      <c r="G40" s="30">
        <f t="shared" si="4"/>
        <v>0</v>
      </c>
      <c r="H40" s="30">
        <f t="shared" si="4"/>
        <v>0</v>
      </c>
      <c r="I40" s="30">
        <f t="shared" si="4"/>
        <v>0</v>
      </c>
      <c r="J40" s="30">
        <f t="shared" si="4"/>
        <v>0</v>
      </c>
      <c r="K40" s="30">
        <f t="shared" si="4"/>
        <v>0</v>
      </c>
      <c r="L40" s="30">
        <f t="shared" si="4"/>
        <v>0</v>
      </c>
      <c r="M40" s="30">
        <f t="shared" si="4"/>
        <v>0</v>
      </c>
      <c r="N40" s="30">
        <f t="shared" si="4"/>
        <v>0</v>
      </c>
    </row>
    <row r="41" spans="1:14" outlineLevel="1" x14ac:dyDescent="0.2">
      <c r="A41" t="s">
        <v>82</v>
      </c>
    </row>
    <row r="42" spans="1:14" outlineLevel="1" x14ac:dyDescent="0.2">
      <c r="A42" t="s">
        <v>91</v>
      </c>
    </row>
    <row r="43" spans="1:14" outlineLevel="1" x14ac:dyDescent="0.2">
      <c r="A43" t="s">
        <v>92</v>
      </c>
    </row>
    <row r="44" spans="1:14" outlineLevel="1" x14ac:dyDescent="0.2">
      <c r="A44" t="s">
        <v>203</v>
      </c>
    </row>
    <row r="45" spans="1:14" outlineLevel="1" x14ac:dyDescent="0.2">
      <c r="A45" t="s">
        <v>127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outlineLevel="1" x14ac:dyDescent="0.2">
      <c r="A46" t="s">
        <v>204</v>
      </c>
    </row>
    <row r="47" spans="1:14" outlineLevel="1" x14ac:dyDescent="0.2">
      <c r="A47" t="s">
        <v>128</v>
      </c>
    </row>
    <row r="48" spans="1:14" s="2" customFormat="1" outlineLevel="1" x14ac:dyDescent="0.2">
      <c r="A48" t="s">
        <v>73</v>
      </c>
      <c r="C48"/>
      <c r="D48"/>
      <c r="E48"/>
      <c r="F48"/>
      <c r="G48"/>
      <c r="H48"/>
      <c r="I48"/>
      <c r="J48"/>
      <c r="K48"/>
      <c r="L48"/>
      <c r="M48"/>
      <c r="N48"/>
    </row>
    <row r="50" spans="1:14" outlineLevel="1" x14ac:dyDescent="0.2">
      <c r="A50" t="s">
        <v>129</v>
      </c>
      <c r="B50" s="2"/>
    </row>
    <row r="51" spans="1:14" outlineLevel="1" x14ac:dyDescent="0.2">
      <c r="A51" t="s">
        <v>130</v>
      </c>
    </row>
    <row r="52" spans="1:14" outlineLevel="1" x14ac:dyDescent="0.2">
      <c r="A52" t="s">
        <v>131</v>
      </c>
    </row>
    <row r="53" spans="1:14" outlineLevel="1" x14ac:dyDescent="0.2">
      <c r="A53" t="s">
        <v>77</v>
      </c>
    </row>
    <row r="54" spans="1:14" x14ac:dyDescent="0.2">
      <c r="A54" s="2" t="s">
        <v>132</v>
      </c>
      <c r="C54" s="30">
        <f t="shared" ref="C54:N54" si="5">SUM(C55:C55)</f>
        <v>0</v>
      </c>
      <c r="D54" s="30">
        <f t="shared" si="5"/>
        <v>0</v>
      </c>
      <c r="E54" s="30">
        <f t="shared" si="5"/>
        <v>0</v>
      </c>
      <c r="F54" s="30">
        <f t="shared" si="5"/>
        <v>0</v>
      </c>
      <c r="G54" s="30">
        <f t="shared" si="5"/>
        <v>0</v>
      </c>
      <c r="H54" s="30">
        <f t="shared" si="5"/>
        <v>0</v>
      </c>
      <c r="I54" s="30">
        <f t="shared" si="5"/>
        <v>0</v>
      </c>
      <c r="J54" s="30">
        <f t="shared" si="5"/>
        <v>0</v>
      </c>
      <c r="K54" s="30">
        <f t="shared" si="5"/>
        <v>0</v>
      </c>
      <c r="L54" s="30">
        <f t="shared" si="5"/>
        <v>0</v>
      </c>
      <c r="M54" s="30">
        <f t="shared" si="5"/>
        <v>0</v>
      </c>
      <c r="N54" s="30">
        <f t="shared" si="5"/>
        <v>0</v>
      </c>
    </row>
    <row r="55" spans="1:14" outlineLevel="1" x14ac:dyDescent="0.2">
      <c r="A55" t="s">
        <v>202</v>
      </c>
    </row>
    <row r="56" spans="1:14" ht="16" thickBot="1" x14ac:dyDescent="0.25">
      <c r="A56" s="2" t="s">
        <v>98</v>
      </c>
      <c r="C56" s="31">
        <f t="shared" ref="C56:N56" si="6">C30+C36+C40+C54</f>
        <v>0</v>
      </c>
      <c r="D56" s="31">
        <f t="shared" si="6"/>
        <v>0</v>
      </c>
      <c r="E56" s="31">
        <f t="shared" si="6"/>
        <v>0</v>
      </c>
      <c r="F56" s="31">
        <f t="shared" si="6"/>
        <v>0</v>
      </c>
      <c r="G56" s="31">
        <f t="shared" si="6"/>
        <v>0</v>
      </c>
      <c r="H56" s="31">
        <f t="shared" si="6"/>
        <v>0</v>
      </c>
      <c r="I56" s="31">
        <f t="shared" si="6"/>
        <v>0</v>
      </c>
      <c r="J56" s="31">
        <f t="shared" si="6"/>
        <v>0</v>
      </c>
      <c r="K56" s="31">
        <f t="shared" si="6"/>
        <v>0</v>
      </c>
      <c r="L56" s="31">
        <f t="shared" si="6"/>
        <v>0</v>
      </c>
      <c r="M56" s="31">
        <f t="shared" si="6"/>
        <v>0</v>
      </c>
      <c r="N56" s="31">
        <f t="shared" si="6"/>
        <v>0</v>
      </c>
    </row>
    <row r="57" spans="1:14" ht="16" thickTop="1" x14ac:dyDescent="0.2"/>
    <row r="58" spans="1:14" x14ac:dyDescent="0.2">
      <c r="A58" t="s">
        <v>198</v>
      </c>
      <c r="C58" s="9">
        <f t="shared" ref="C58:N58" si="7">C27-C56</f>
        <v>0</v>
      </c>
      <c r="D58" s="9">
        <f t="shared" si="7"/>
        <v>0</v>
      </c>
      <c r="E58" s="9">
        <f t="shared" si="7"/>
        <v>0</v>
      </c>
      <c r="F58" s="9">
        <f t="shared" si="7"/>
        <v>0</v>
      </c>
      <c r="G58" s="9">
        <f t="shared" si="7"/>
        <v>0</v>
      </c>
      <c r="H58" s="9">
        <f t="shared" si="7"/>
        <v>0</v>
      </c>
      <c r="I58" s="9">
        <f t="shared" si="7"/>
        <v>0</v>
      </c>
      <c r="J58" s="9">
        <f t="shared" si="7"/>
        <v>0</v>
      </c>
      <c r="K58" s="9">
        <f t="shared" si="7"/>
        <v>0</v>
      </c>
      <c r="L58" s="9">
        <f t="shared" si="7"/>
        <v>0</v>
      </c>
      <c r="M58" s="9">
        <f t="shared" si="7"/>
        <v>0</v>
      </c>
      <c r="N58" s="9">
        <f t="shared" si="7"/>
        <v>0</v>
      </c>
    </row>
    <row r="60" spans="1:14" x14ac:dyDescent="0.2">
      <c r="A60" s="17" t="s">
        <v>100</v>
      </c>
    </row>
    <row r="61" spans="1:14" x14ac:dyDescent="0.2">
      <c r="A61" t="s">
        <v>101</v>
      </c>
      <c r="C61" s="9">
        <v>0</v>
      </c>
      <c r="D61" s="9">
        <f>C70</f>
        <v>0</v>
      </c>
      <c r="E61" s="9">
        <f t="shared" ref="E61:N61" si="8">D70</f>
        <v>0</v>
      </c>
      <c r="F61" s="9">
        <f t="shared" si="8"/>
        <v>0</v>
      </c>
      <c r="G61" s="9">
        <f t="shared" si="8"/>
        <v>0</v>
      </c>
      <c r="H61" s="9">
        <f t="shared" si="8"/>
        <v>0</v>
      </c>
      <c r="I61" s="9">
        <f t="shared" si="8"/>
        <v>0</v>
      </c>
      <c r="J61" s="9">
        <f t="shared" si="8"/>
        <v>0</v>
      </c>
      <c r="K61" s="9">
        <f t="shared" si="8"/>
        <v>0</v>
      </c>
      <c r="L61" s="9">
        <f t="shared" si="8"/>
        <v>0</v>
      </c>
      <c r="M61" s="9">
        <f t="shared" si="8"/>
        <v>0</v>
      </c>
      <c r="N61" s="9">
        <f t="shared" si="8"/>
        <v>0</v>
      </c>
    </row>
    <row r="62" spans="1:14" x14ac:dyDescent="0.2">
      <c r="A62" t="s">
        <v>102</v>
      </c>
      <c r="C62" s="9">
        <v>0</v>
      </c>
      <c r="D62" s="9">
        <f>C69</f>
        <v>0</v>
      </c>
      <c r="E62" s="9">
        <f t="shared" ref="E62:N62" si="9">D69</f>
        <v>0</v>
      </c>
      <c r="F62" s="9">
        <f t="shared" si="9"/>
        <v>0</v>
      </c>
      <c r="G62" s="9">
        <f t="shared" si="9"/>
        <v>0</v>
      </c>
      <c r="H62" s="9">
        <f t="shared" si="9"/>
        <v>0</v>
      </c>
      <c r="I62" s="9">
        <f t="shared" si="9"/>
        <v>0</v>
      </c>
      <c r="J62" s="9">
        <f t="shared" si="9"/>
        <v>0</v>
      </c>
      <c r="K62" s="9">
        <f t="shared" si="9"/>
        <v>0</v>
      </c>
      <c r="L62" s="9">
        <f t="shared" si="9"/>
        <v>0</v>
      </c>
      <c r="M62" s="9">
        <f t="shared" si="9"/>
        <v>0</v>
      </c>
      <c r="N62" s="9">
        <f t="shared" si="9"/>
        <v>0</v>
      </c>
    </row>
    <row r="63" spans="1:14" x14ac:dyDescent="0.2">
      <c r="A63" t="s">
        <v>99</v>
      </c>
      <c r="C63" s="19">
        <f t="shared" ref="C63:N63" si="10">C27-C56</f>
        <v>0</v>
      </c>
      <c r="D63" s="19">
        <f t="shared" si="10"/>
        <v>0</v>
      </c>
      <c r="E63" s="19">
        <f t="shared" si="10"/>
        <v>0</v>
      </c>
      <c r="F63" s="19">
        <f t="shared" si="10"/>
        <v>0</v>
      </c>
      <c r="G63" s="19">
        <f t="shared" si="10"/>
        <v>0</v>
      </c>
      <c r="H63" s="19">
        <f t="shared" si="10"/>
        <v>0</v>
      </c>
      <c r="I63" s="19">
        <f t="shared" si="10"/>
        <v>0</v>
      </c>
      <c r="J63" s="19">
        <f t="shared" si="10"/>
        <v>0</v>
      </c>
      <c r="K63" s="19">
        <f t="shared" si="10"/>
        <v>0</v>
      </c>
      <c r="L63" s="19">
        <f t="shared" si="10"/>
        <v>0</v>
      </c>
      <c r="M63" s="19">
        <f t="shared" si="10"/>
        <v>0</v>
      </c>
      <c r="N63" s="19">
        <f t="shared" si="10"/>
        <v>0</v>
      </c>
    </row>
    <row r="64" spans="1:14" x14ac:dyDescent="0.2">
      <c r="A64" t="s">
        <v>199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 x14ac:dyDescent="0.2">
      <c r="A65" t="s">
        <v>207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 x14ac:dyDescent="0.2">
      <c r="A66" t="s">
        <v>105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2">
      <c r="A67" t="s">
        <v>134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2">
      <c r="A68" t="s">
        <v>135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</row>
    <row r="69" spans="1:14" x14ac:dyDescent="0.2">
      <c r="A69" t="s">
        <v>106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</row>
    <row r="70" spans="1:14" s="2" customFormat="1" x14ac:dyDescent="0.2">
      <c r="A70" s="2" t="s">
        <v>107</v>
      </c>
      <c r="C70" s="19">
        <f>C61+C62+C63-C64-C65-C66-C67-C68-C69</f>
        <v>0</v>
      </c>
      <c r="D70" s="19">
        <f t="shared" ref="D70:N70" si="11">D61+D62+D63-D64-D65-D66-D67-D68-D69</f>
        <v>0</v>
      </c>
      <c r="E70" s="19">
        <f t="shared" si="11"/>
        <v>0</v>
      </c>
      <c r="F70" s="19">
        <f t="shared" si="11"/>
        <v>0</v>
      </c>
      <c r="G70" s="19">
        <f t="shared" si="11"/>
        <v>0</v>
      </c>
      <c r="H70" s="19">
        <f t="shared" si="11"/>
        <v>0</v>
      </c>
      <c r="I70" s="19">
        <f t="shared" si="11"/>
        <v>0</v>
      </c>
      <c r="J70" s="19">
        <f t="shared" si="11"/>
        <v>0</v>
      </c>
      <c r="K70" s="19">
        <f t="shared" si="11"/>
        <v>0</v>
      </c>
      <c r="L70" s="19">
        <f t="shared" si="11"/>
        <v>0</v>
      </c>
      <c r="M70" s="19">
        <f t="shared" si="11"/>
        <v>0</v>
      </c>
      <c r="N70" s="19">
        <f t="shared" si="11"/>
        <v>0</v>
      </c>
    </row>
  </sheetData>
  <mergeCells count="1">
    <mergeCell ref="C1:N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49C2-A1EF-4B23-B019-D9F90BDB7ABC}">
  <dimension ref="A1:N24"/>
  <sheetViews>
    <sheetView workbookViewId="0">
      <selection activeCell="N22" sqref="N22"/>
    </sheetView>
  </sheetViews>
  <sheetFormatPr baseColWidth="10" defaultColWidth="8.83203125" defaultRowHeight="15" x14ac:dyDescent="0.2"/>
  <cols>
    <col min="1" max="1" width="21.5" customWidth="1"/>
  </cols>
  <sheetData>
    <row r="1" spans="1:14" x14ac:dyDescent="0.2">
      <c r="A1" s="11" t="s">
        <v>136</v>
      </c>
      <c r="B1" s="12"/>
      <c r="C1" s="13">
        <v>44927</v>
      </c>
      <c r="D1" s="13">
        <v>44958</v>
      </c>
      <c r="E1" s="13">
        <v>44986</v>
      </c>
      <c r="F1" s="13">
        <v>45017</v>
      </c>
      <c r="G1" s="13">
        <v>45047</v>
      </c>
      <c r="H1" s="13">
        <v>45078</v>
      </c>
      <c r="I1" s="13">
        <v>45108</v>
      </c>
      <c r="J1" s="13">
        <v>45139</v>
      </c>
      <c r="K1" s="13">
        <v>45170</v>
      </c>
      <c r="L1" s="13">
        <v>45200</v>
      </c>
      <c r="M1" s="13">
        <v>45231</v>
      </c>
      <c r="N1" s="13">
        <v>45261</v>
      </c>
    </row>
    <row r="2" spans="1:14" x14ac:dyDescent="0.2">
      <c r="A2" s="14" t="s">
        <v>137</v>
      </c>
      <c r="C2" s="16">
        <f>'Yr 1 (Jan 2023+)'!D41</f>
        <v>0</v>
      </c>
      <c r="D2" s="16">
        <f>'Yr 1 (Jan 2023+)'!E41</f>
        <v>0</v>
      </c>
      <c r="E2" s="16">
        <f>'Yr 1 (Jan 2023+)'!F41</f>
        <v>0</v>
      </c>
      <c r="F2" s="16">
        <f>'Yr 1 (Jan 2023+)'!G41</f>
        <v>0</v>
      </c>
      <c r="G2" s="16">
        <f>'Yr 1 (Jan 2023+)'!H41</f>
        <v>0</v>
      </c>
      <c r="H2" s="16">
        <f>'Yr 1 (Jan 2023+)'!I41</f>
        <v>0</v>
      </c>
      <c r="I2" s="16">
        <f>'Yr 1 (Jan 2023+)'!J41</f>
        <v>0</v>
      </c>
      <c r="J2" s="16">
        <f>'Yr 1 (Jan 2023+)'!K41</f>
        <v>600</v>
      </c>
      <c r="K2" s="16">
        <f>'Yr 1 (Jan 2023+)'!L41</f>
        <v>200.04</v>
      </c>
      <c r="L2" s="16">
        <f>'Yr 1 (Jan 2023+)'!M41</f>
        <v>0</v>
      </c>
      <c r="M2" s="16">
        <f>'Yr 1 (Jan 2023+)'!N41</f>
        <v>0</v>
      </c>
      <c r="N2" s="16">
        <f>'Yr 1 (Jan 2023+)'!O41</f>
        <v>0</v>
      </c>
    </row>
    <row r="3" spans="1:14" x14ac:dyDescent="0.2">
      <c r="A3" s="1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">
      <c r="A4" s="14" t="s">
        <v>138</v>
      </c>
      <c r="C4" s="16">
        <f>SUM('Yr 1 (Jan 2023+)'!D51:D82)</f>
        <v>4568.43</v>
      </c>
      <c r="D4" s="16">
        <f>SUM('Yr 1 (Jan 2023+)'!E51:E82)</f>
        <v>2717.25</v>
      </c>
      <c r="E4" s="16">
        <f>SUM('Yr 1 (Jan 2023+)'!F51:F82)</f>
        <v>2677.0099999999998</v>
      </c>
      <c r="F4" s="16">
        <f>SUM('Yr 1 (Jan 2023+)'!G51:G82)</f>
        <v>4006.78</v>
      </c>
      <c r="G4" s="16">
        <f>SUM('Yr 1 (Jan 2023+)'!H51:H82)</f>
        <v>10595.993960039999</v>
      </c>
      <c r="H4" s="16">
        <f>SUM('Yr 1 (Jan 2023+)'!I51:I82)</f>
        <v>14712.62318002</v>
      </c>
      <c r="I4" s="16">
        <f>SUM('Yr 1 (Jan 2023+)'!J51:J82)</f>
        <v>13127.896550019999</v>
      </c>
      <c r="J4" s="16">
        <f>SUM('Yr 1 (Jan 2023+)'!K51:K82)</f>
        <v>14236.921921686666</v>
      </c>
      <c r="K4" s="16">
        <f>SUM('Yr 1 (Jan 2023+)'!L51:L82)</f>
        <v>14619.668390019999</v>
      </c>
      <c r="L4" s="16">
        <f>SUM('Yr 1 (Jan 2023+)'!M51:M82)</f>
        <v>16666.306298353331</v>
      </c>
      <c r="M4" s="16">
        <f>SUM('Yr 1 (Jan 2023+)'!N51:N82)</f>
        <v>29840.997203353338</v>
      </c>
      <c r="N4" s="16">
        <f>SUM('Yr 1 (Jan 2023+)'!O51:O82)</f>
        <v>22458.328223333334</v>
      </c>
    </row>
    <row r="5" spans="1:14" x14ac:dyDescent="0.2">
      <c r="A5" s="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14" t="s">
        <v>101</v>
      </c>
      <c r="C7" s="16">
        <v>4500</v>
      </c>
      <c r="D7" s="16">
        <f>C9</f>
        <v>-68.430000000000291</v>
      </c>
      <c r="E7" s="16">
        <f t="shared" ref="E7:N7" si="0">D9</f>
        <v>-2785.6800000000003</v>
      </c>
      <c r="F7" s="16">
        <f t="shared" si="0"/>
        <v>-5462.6900000000005</v>
      </c>
      <c r="G7" s="16">
        <f t="shared" si="0"/>
        <v>-9469.4700000000012</v>
      </c>
      <c r="H7" s="16">
        <f t="shared" si="0"/>
        <v>-20065.463960040001</v>
      </c>
      <c r="I7" s="16">
        <f t="shared" si="0"/>
        <v>-34778.087140060001</v>
      </c>
      <c r="J7" s="16">
        <f t="shared" si="0"/>
        <v>-47905.98369008</v>
      </c>
      <c r="K7" s="16">
        <f t="shared" si="0"/>
        <v>-61542.905611766662</v>
      </c>
      <c r="L7" s="16">
        <f t="shared" si="0"/>
        <v>-75962.534001786655</v>
      </c>
      <c r="M7" s="16">
        <f t="shared" si="0"/>
        <v>-92628.840300139986</v>
      </c>
      <c r="N7" s="16">
        <f t="shared" si="0"/>
        <v>-122469.83750349333</v>
      </c>
    </row>
    <row r="8" spans="1:14" x14ac:dyDescent="0.2">
      <c r="A8" s="1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x14ac:dyDescent="0.2">
      <c r="A9" s="14" t="s">
        <v>139</v>
      </c>
      <c r="C9" s="16">
        <f>C7+C2-C4</f>
        <v>-68.430000000000291</v>
      </c>
      <c r="D9" s="16">
        <f t="shared" ref="D9:N9" si="1">D7+D2-D4</f>
        <v>-2785.6800000000003</v>
      </c>
      <c r="E9" s="16">
        <f t="shared" si="1"/>
        <v>-5462.6900000000005</v>
      </c>
      <c r="F9" s="16">
        <f t="shared" si="1"/>
        <v>-9469.4700000000012</v>
      </c>
      <c r="G9" s="16">
        <f t="shared" si="1"/>
        <v>-20065.463960040001</v>
      </c>
      <c r="H9" s="16">
        <f t="shared" si="1"/>
        <v>-34778.087140060001</v>
      </c>
      <c r="I9" s="16">
        <f t="shared" si="1"/>
        <v>-47905.98369008</v>
      </c>
      <c r="J9" s="16">
        <f t="shared" si="1"/>
        <v>-61542.905611766662</v>
      </c>
      <c r="K9" s="16">
        <f t="shared" si="1"/>
        <v>-75962.534001786655</v>
      </c>
      <c r="L9" s="16">
        <f t="shared" si="1"/>
        <v>-92628.840300139986</v>
      </c>
      <c r="M9" s="16">
        <f t="shared" si="1"/>
        <v>-122469.83750349333</v>
      </c>
      <c r="N9" s="16">
        <f t="shared" si="1"/>
        <v>-144928.16572682667</v>
      </c>
    </row>
    <row r="10" spans="1:14" x14ac:dyDescent="0.2">
      <c r="A10" s="15"/>
    </row>
    <row r="11" spans="1:14" x14ac:dyDescent="0.2">
      <c r="A11" s="14" t="s">
        <v>49</v>
      </c>
      <c r="C11">
        <f>'Yr 1 (Jan 2023+)'!D23</f>
        <v>14</v>
      </c>
      <c r="D11">
        <f>'Yr 1 (Jan 2023+)'!E23</f>
        <v>0</v>
      </c>
      <c r="E11">
        <f>'Yr 1 (Jan 2023+)'!F23</f>
        <v>5</v>
      </c>
      <c r="F11">
        <f>'Yr 1 (Jan 2023+)'!G23</f>
        <v>21.155000000000001</v>
      </c>
      <c r="G11">
        <f>'Yr 1 (Jan 2023+)'!H23</f>
        <v>41.145638430800005</v>
      </c>
      <c r="H11">
        <f>'Yr 1 (Jan 2023+)'!I23</f>
        <v>45.544960000000003</v>
      </c>
      <c r="I11">
        <f>'Yr 1 (Jan 2023+)'!J23</f>
        <v>51.234736900000001</v>
      </c>
      <c r="J11">
        <f>'Yr 1 (Jan 2023+)'!K23</f>
        <v>48.970375199999999</v>
      </c>
      <c r="K11">
        <f>'Yr 1 (Jan 2023+)'!L23</f>
        <v>46.203094499999999</v>
      </c>
      <c r="L11">
        <f>'Yr 1 (Jan 2023+)'!M23</f>
        <v>59.5126037</v>
      </c>
      <c r="M11">
        <f>'Yr 1 (Jan 2023+)'!N23</f>
        <v>55.907439999999994</v>
      </c>
      <c r="N11">
        <f>'Yr 1 (Jan 2023+)'!O23</f>
        <v>54.193480600000001</v>
      </c>
    </row>
    <row r="12" spans="1:14" x14ac:dyDescent="0.2">
      <c r="A12" s="15"/>
    </row>
    <row r="13" spans="1:14" x14ac:dyDescent="0.2">
      <c r="A13" s="15"/>
    </row>
    <row r="14" spans="1:14" x14ac:dyDescent="0.2">
      <c r="A14" s="14" t="s">
        <v>140</v>
      </c>
      <c r="C14" s="10">
        <v>45292</v>
      </c>
      <c r="D14" s="10">
        <v>45323</v>
      </c>
      <c r="E14" s="10">
        <v>45352</v>
      </c>
      <c r="F14" s="10">
        <v>45383</v>
      </c>
      <c r="G14" s="10">
        <v>45413</v>
      </c>
      <c r="H14" s="10">
        <v>45444</v>
      </c>
      <c r="I14" s="10">
        <v>45474</v>
      </c>
      <c r="J14" s="10">
        <v>45505</v>
      </c>
      <c r="K14" s="10">
        <v>45536</v>
      </c>
      <c r="L14" s="10">
        <v>45566</v>
      </c>
      <c r="M14" s="10">
        <v>45597</v>
      </c>
      <c r="N14" s="10">
        <v>45627</v>
      </c>
    </row>
    <row r="15" spans="1:14" x14ac:dyDescent="0.2">
      <c r="A15" s="14" t="s">
        <v>137</v>
      </c>
      <c r="C15" s="16">
        <f>'Yr 1 (Jan 2023+)'!Q41</f>
        <v>0</v>
      </c>
      <c r="D15" s="16">
        <f>'Yr 1 (Jan 2023+)'!R41</f>
        <v>450</v>
      </c>
      <c r="E15" s="16">
        <f>'Yr 1 (Jan 2023+)'!S41</f>
        <v>1299.9959999999999</v>
      </c>
      <c r="F15" s="16">
        <f>'Yr 1 (Jan 2023+)'!T41</f>
        <v>0</v>
      </c>
      <c r="G15" s="16">
        <f>'Yr 1 (Jan 2023+)'!U41</f>
        <v>0</v>
      </c>
      <c r="H15" s="16">
        <f>'Yr 1 (Jan 2023+)'!V41</f>
        <v>0</v>
      </c>
      <c r="I15" s="16">
        <f>'Yr 1 (Jan 2023+)'!W41</f>
        <v>0</v>
      </c>
      <c r="J15" s="16">
        <f>'Yr 1 (Jan 2023+)'!X41</f>
        <v>0</v>
      </c>
      <c r="K15" s="16">
        <f>'Yr 1 (Jan 2023+)'!Y41</f>
        <v>0</v>
      </c>
      <c r="L15" s="16">
        <f>'Yr 1 (Jan 2023+)'!Z41</f>
        <v>0</v>
      </c>
      <c r="M15" s="16">
        <f>'Yr 1 (Jan 2023+)'!AA41</f>
        <v>0</v>
      </c>
      <c r="N15" s="16">
        <f>'Yr 1 (Jan 2023+)'!AB41</f>
        <v>0</v>
      </c>
    </row>
    <row r="17" spans="1:14" x14ac:dyDescent="0.2">
      <c r="A17" s="14" t="s">
        <v>138</v>
      </c>
      <c r="C17" s="16">
        <f>SUM('Yr 1 (Jan 2023+)'!Q51:Q82)</f>
        <v>19203.044241666666</v>
      </c>
      <c r="D17" s="16">
        <f>SUM('Yr 1 (Jan 2023+)'!R51:R82)</f>
        <v>16406.645093333333</v>
      </c>
      <c r="E17" s="16">
        <f>SUM('Yr 1 (Jan 2023+)'!S51:S82)</f>
        <v>21270.706883000003</v>
      </c>
      <c r="F17" s="16">
        <f>SUM('Yr 1 (Jan 2023+)'!T51:T82)</f>
        <v>0</v>
      </c>
      <c r="G17" s="16">
        <f>SUM('Yr 1 (Jan 2023+)'!U51:U82)</f>
        <v>0</v>
      </c>
      <c r="H17" s="16">
        <f>SUM('Yr 1 (Jan 2023+)'!V51:V82)</f>
        <v>0</v>
      </c>
      <c r="I17" s="16">
        <f>SUM('Yr 1 (Jan 2023+)'!W51:W82)</f>
        <v>0</v>
      </c>
      <c r="J17" s="16">
        <f>SUM('Yr 1 (Jan 2023+)'!X51:X82)</f>
        <v>0</v>
      </c>
      <c r="K17" s="16">
        <f>SUM('Yr 1 (Jan 2023+)'!Y51:Y82)</f>
        <v>0</v>
      </c>
      <c r="L17" s="16">
        <f>SUM('Yr 1 (Jan 2023+)'!Z51:Z82)</f>
        <v>0</v>
      </c>
      <c r="M17" s="16">
        <f>SUM('Yr 1 (Jan 2023+)'!AA51:AA82)</f>
        <v>0</v>
      </c>
      <c r="N17" s="16">
        <f>SUM('Yr 1 (Jan 2023+)'!AB51:AB82)</f>
        <v>0</v>
      </c>
    </row>
    <row r="18" spans="1:14" x14ac:dyDescent="0.2">
      <c r="A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2">
      <c r="A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4" t="s">
        <v>101</v>
      </c>
      <c r="C20" s="16">
        <f>N9</f>
        <v>-144928.16572682667</v>
      </c>
      <c r="D20" s="16">
        <f>C22</f>
        <v>-164131.20996849335</v>
      </c>
      <c r="E20" s="16">
        <f t="shared" ref="E20:N20" si="2">D22</f>
        <v>-180087.85506182667</v>
      </c>
      <c r="F20" s="16">
        <f t="shared" si="2"/>
        <v>-200058.56594482667</v>
      </c>
      <c r="G20" s="16">
        <f t="shared" si="2"/>
        <v>-200058.56594482667</v>
      </c>
      <c r="H20" s="16">
        <f t="shared" si="2"/>
        <v>-200058.56594482667</v>
      </c>
      <c r="I20" s="16">
        <f t="shared" si="2"/>
        <v>-200058.56594482667</v>
      </c>
      <c r="J20" s="16">
        <f t="shared" si="2"/>
        <v>-200058.56594482667</v>
      </c>
      <c r="K20" s="16">
        <f t="shared" si="2"/>
        <v>-200058.56594482667</v>
      </c>
      <c r="L20" s="16">
        <f t="shared" si="2"/>
        <v>-200058.56594482667</v>
      </c>
      <c r="M20" s="16">
        <f t="shared" si="2"/>
        <v>-200058.56594482667</v>
      </c>
      <c r="N20" s="16">
        <f t="shared" si="2"/>
        <v>-200058.56594482667</v>
      </c>
    </row>
    <row r="21" spans="1:14" x14ac:dyDescent="0.2">
      <c r="A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4" t="s">
        <v>139</v>
      </c>
      <c r="C22" s="16">
        <f>C15-C17+C20</f>
        <v>-164131.20996849335</v>
      </c>
      <c r="D22" s="16">
        <f t="shared" ref="D22:N22" si="3">D15-D17+D20</f>
        <v>-180087.85506182667</v>
      </c>
      <c r="E22" s="16">
        <f t="shared" si="3"/>
        <v>-200058.56594482667</v>
      </c>
      <c r="F22" s="16">
        <f t="shared" si="3"/>
        <v>-200058.56594482667</v>
      </c>
      <c r="G22" s="16">
        <f t="shared" si="3"/>
        <v>-200058.56594482667</v>
      </c>
      <c r="H22" s="16">
        <f t="shared" si="3"/>
        <v>-200058.56594482667</v>
      </c>
      <c r="I22" s="16">
        <f t="shared" si="3"/>
        <v>-200058.56594482667</v>
      </c>
      <c r="J22" s="16">
        <f t="shared" si="3"/>
        <v>-200058.56594482667</v>
      </c>
      <c r="K22" s="16">
        <f t="shared" si="3"/>
        <v>-200058.56594482667</v>
      </c>
      <c r="L22" s="16">
        <f t="shared" si="3"/>
        <v>-200058.56594482667</v>
      </c>
      <c r="M22" s="16">
        <f t="shared" si="3"/>
        <v>-200058.56594482667</v>
      </c>
      <c r="N22" s="16">
        <f t="shared" si="3"/>
        <v>-200058.56594482667</v>
      </c>
    </row>
    <row r="23" spans="1:14" x14ac:dyDescent="0.2">
      <c r="A23" s="1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">
      <c r="A24" s="14" t="s">
        <v>49</v>
      </c>
      <c r="C24">
        <f>'Yr 1 (Jan 2023+)'!Q23</f>
        <v>58.452647600000006</v>
      </c>
      <c r="D24">
        <f>'Yr 1 (Jan 2023+)'!R23</f>
        <v>49.473598800000005</v>
      </c>
      <c r="E24">
        <f>'Yr 1 (Jan 2023+)'!S23</f>
        <v>61.834925699999999</v>
      </c>
      <c r="F24">
        <f>'Yr 1 (Jan 2023+)'!T23</f>
        <v>0</v>
      </c>
      <c r="G24">
        <f>'Yr 1 (Jan 2023+)'!U23</f>
        <v>0</v>
      </c>
      <c r="H24">
        <f>'Yr 1 (Jan 2023+)'!V23</f>
        <v>0</v>
      </c>
      <c r="I24">
        <f>'Yr 1 (Jan 2023+)'!W23</f>
        <v>0</v>
      </c>
      <c r="J24">
        <f>'Yr 1 (Jan 2023+)'!X23</f>
        <v>0</v>
      </c>
      <c r="K24">
        <f>'Yr 1 (Jan 2023+)'!Y23</f>
        <v>0</v>
      </c>
      <c r="L24">
        <f>'Yr 1 (Jan 2023+)'!Z23</f>
        <v>0</v>
      </c>
      <c r="M24">
        <f>'Yr 1 (Jan 2023+)'!AA23</f>
        <v>0</v>
      </c>
      <c r="N24">
        <f>'Yr 1 (Jan 2023+)'!AB23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C910-8AFD-434F-B42F-9BD59C038391}">
  <dimension ref="A1"/>
  <sheetViews>
    <sheetView workbookViewId="0">
      <selection activeCell="D2" sqref="D2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8FF5-7E3D-4578-9A43-43BF731302DE}">
  <dimension ref="A1:P40"/>
  <sheetViews>
    <sheetView topLeftCell="A13" workbookViewId="0">
      <selection activeCell="D2" sqref="D2"/>
    </sheetView>
  </sheetViews>
  <sheetFormatPr baseColWidth="10" defaultColWidth="8.83203125" defaultRowHeight="15" x14ac:dyDescent="0.2"/>
  <cols>
    <col min="1" max="1" width="11.5" bestFit="1" customWidth="1"/>
    <col min="3" max="3" width="24" customWidth="1"/>
    <col min="4" max="4" width="15.5" customWidth="1"/>
    <col min="7" max="7" width="17.5" customWidth="1"/>
  </cols>
  <sheetData>
    <row r="1" spans="1:9" x14ac:dyDescent="0.2">
      <c r="A1" t="s">
        <v>141</v>
      </c>
      <c r="B1" t="s">
        <v>142</v>
      </c>
      <c r="C1" t="s">
        <v>143</v>
      </c>
      <c r="D1" t="s">
        <v>144</v>
      </c>
      <c r="E1" t="s">
        <v>145</v>
      </c>
      <c r="F1" t="s">
        <v>146</v>
      </c>
      <c r="G1" t="s">
        <v>147</v>
      </c>
    </row>
    <row r="2" spans="1:9" x14ac:dyDescent="0.2">
      <c r="A2" s="20">
        <v>44776</v>
      </c>
      <c r="B2" s="21" t="s">
        <v>76</v>
      </c>
      <c r="C2" s="21" t="s">
        <v>148</v>
      </c>
      <c r="D2" s="21">
        <v>6.66</v>
      </c>
      <c r="E2" s="21">
        <v>1.33</v>
      </c>
      <c r="F2" s="21">
        <f>D2+E2</f>
        <v>7.99</v>
      </c>
      <c r="G2" s="21" t="s">
        <v>149</v>
      </c>
      <c r="H2" t="s">
        <v>150</v>
      </c>
    </row>
    <row r="3" spans="1:9" x14ac:dyDescent="0.2">
      <c r="A3" s="20">
        <f>A2+30</f>
        <v>44806</v>
      </c>
      <c r="B3" s="21" t="s">
        <v>76</v>
      </c>
      <c r="C3" s="21" t="s">
        <v>148</v>
      </c>
      <c r="D3" s="21">
        <v>6.66</v>
      </c>
      <c r="E3" s="21">
        <v>1.33</v>
      </c>
      <c r="F3" s="21">
        <f t="shared" ref="F3:F20" si="0">D3+E3</f>
        <v>7.99</v>
      </c>
      <c r="G3" s="21" t="s">
        <v>149</v>
      </c>
      <c r="H3" t="s">
        <v>150</v>
      </c>
    </row>
    <row r="4" spans="1:9" x14ac:dyDescent="0.2">
      <c r="A4" s="20">
        <f t="shared" ref="A4:A9" si="1">A3+30</f>
        <v>44836</v>
      </c>
      <c r="B4" s="21" t="s">
        <v>76</v>
      </c>
      <c r="C4" s="21" t="s">
        <v>148</v>
      </c>
      <c r="D4" s="21">
        <v>6.66</v>
      </c>
      <c r="E4" s="21">
        <v>1.33</v>
      </c>
      <c r="F4" s="21">
        <f t="shared" si="0"/>
        <v>7.99</v>
      </c>
      <c r="G4" s="21" t="s">
        <v>149</v>
      </c>
      <c r="H4" t="s">
        <v>150</v>
      </c>
    </row>
    <row r="5" spans="1:9" x14ac:dyDescent="0.2">
      <c r="A5" s="20">
        <f t="shared" si="1"/>
        <v>44866</v>
      </c>
      <c r="B5" s="21" t="s">
        <v>76</v>
      </c>
      <c r="C5" s="21" t="s">
        <v>148</v>
      </c>
      <c r="D5" s="21">
        <v>6.66</v>
      </c>
      <c r="E5" s="21">
        <v>1.33</v>
      </c>
      <c r="F5" s="21">
        <f t="shared" si="0"/>
        <v>7.99</v>
      </c>
      <c r="G5" s="21" t="s">
        <v>149</v>
      </c>
      <c r="H5" t="s">
        <v>150</v>
      </c>
    </row>
    <row r="6" spans="1:9" x14ac:dyDescent="0.2">
      <c r="A6" s="8">
        <f t="shared" si="1"/>
        <v>44896</v>
      </c>
      <c r="B6" t="s">
        <v>76</v>
      </c>
      <c r="C6" t="s">
        <v>148</v>
      </c>
      <c r="D6">
        <v>6.66</v>
      </c>
      <c r="E6">
        <v>1.33</v>
      </c>
      <c r="F6">
        <f t="shared" si="0"/>
        <v>7.99</v>
      </c>
      <c r="G6" t="s">
        <v>151</v>
      </c>
    </row>
    <row r="7" spans="1:9" x14ac:dyDescent="0.2">
      <c r="A7" s="8">
        <f t="shared" si="1"/>
        <v>44926</v>
      </c>
      <c r="B7" t="s">
        <v>76</v>
      </c>
      <c r="C7" t="s">
        <v>148</v>
      </c>
      <c r="D7">
        <v>6.66</v>
      </c>
      <c r="E7">
        <v>1.33</v>
      </c>
      <c r="F7">
        <f t="shared" si="0"/>
        <v>7.99</v>
      </c>
      <c r="G7" t="s">
        <v>151</v>
      </c>
    </row>
    <row r="8" spans="1:9" x14ac:dyDescent="0.2">
      <c r="A8" s="8">
        <f t="shared" si="1"/>
        <v>44956</v>
      </c>
      <c r="B8" t="s">
        <v>76</v>
      </c>
      <c r="C8" t="s">
        <v>148</v>
      </c>
      <c r="D8">
        <v>6.66</v>
      </c>
      <c r="E8">
        <v>1.33</v>
      </c>
      <c r="F8">
        <f t="shared" si="0"/>
        <v>7.99</v>
      </c>
      <c r="G8" t="s">
        <v>151</v>
      </c>
    </row>
    <row r="9" spans="1:9" x14ac:dyDescent="0.2">
      <c r="A9" s="8">
        <f t="shared" si="1"/>
        <v>44986</v>
      </c>
      <c r="B9" t="s">
        <v>76</v>
      </c>
      <c r="C9" t="s">
        <v>148</v>
      </c>
      <c r="D9">
        <v>6.66</v>
      </c>
      <c r="E9">
        <v>1.33</v>
      </c>
      <c r="F9">
        <f t="shared" si="0"/>
        <v>7.99</v>
      </c>
      <c r="G9" t="s">
        <v>151</v>
      </c>
    </row>
    <row r="10" spans="1:9" x14ac:dyDescent="0.2">
      <c r="A10" s="20">
        <v>44803</v>
      </c>
      <c r="B10" s="21" t="s">
        <v>152</v>
      </c>
      <c r="C10" s="21" t="s">
        <v>153</v>
      </c>
      <c r="D10" s="21">
        <v>24.99</v>
      </c>
      <c r="E10" s="21">
        <v>5</v>
      </c>
      <c r="F10" s="21">
        <f t="shared" si="0"/>
        <v>29.99</v>
      </c>
      <c r="G10" s="21" t="s">
        <v>149</v>
      </c>
    </row>
    <row r="11" spans="1:9" x14ac:dyDescent="0.2">
      <c r="A11" s="20">
        <v>44387</v>
      </c>
      <c r="B11" s="21" t="s">
        <v>154</v>
      </c>
      <c r="C11" s="21" t="s">
        <v>155</v>
      </c>
      <c r="D11" s="21">
        <v>41.84</v>
      </c>
      <c r="E11" s="21">
        <v>8.3699999999999992</v>
      </c>
      <c r="F11" s="21">
        <f t="shared" si="0"/>
        <v>50.21</v>
      </c>
      <c r="G11" s="21" t="s">
        <v>149</v>
      </c>
      <c r="H11" t="s">
        <v>150</v>
      </c>
    </row>
    <row r="12" spans="1:9" x14ac:dyDescent="0.2">
      <c r="A12" s="20">
        <v>44798</v>
      </c>
      <c r="B12" s="21" t="s">
        <v>156</v>
      </c>
      <c r="C12" s="21" t="s">
        <v>157</v>
      </c>
      <c r="D12" s="21">
        <v>18</v>
      </c>
      <c r="E12" s="21">
        <v>0</v>
      </c>
      <c r="F12" s="21">
        <f t="shared" si="0"/>
        <v>18</v>
      </c>
      <c r="G12" s="21" t="s">
        <v>149</v>
      </c>
      <c r="H12" t="s">
        <v>150</v>
      </c>
    </row>
    <row r="13" spans="1:9" x14ac:dyDescent="0.2">
      <c r="A13" s="20">
        <v>44724</v>
      </c>
      <c r="B13" s="21" t="s">
        <v>158</v>
      </c>
      <c r="C13" s="21" t="s">
        <v>159</v>
      </c>
      <c r="D13" s="21">
        <v>50</v>
      </c>
      <c r="E13" s="21">
        <v>10</v>
      </c>
      <c r="F13" s="21">
        <f t="shared" si="0"/>
        <v>60</v>
      </c>
      <c r="G13" s="21" t="s">
        <v>149</v>
      </c>
      <c r="H13" t="s">
        <v>150</v>
      </c>
    </row>
    <row r="14" spans="1:9" x14ac:dyDescent="0.2">
      <c r="A14" s="20">
        <v>44733</v>
      </c>
      <c r="B14" s="21" t="s">
        <v>160</v>
      </c>
      <c r="C14" s="21" t="s">
        <v>161</v>
      </c>
      <c r="D14" s="21">
        <v>102</v>
      </c>
      <c r="E14" s="21">
        <v>20.399999999999999</v>
      </c>
      <c r="F14" s="21">
        <f t="shared" si="0"/>
        <v>122.4</v>
      </c>
      <c r="G14" s="21" t="s">
        <v>149</v>
      </c>
      <c r="H14" t="s">
        <v>150</v>
      </c>
      <c r="I14" t="s">
        <v>162</v>
      </c>
    </row>
    <row r="15" spans="1:9" x14ac:dyDescent="0.2">
      <c r="A15" s="20">
        <v>44733</v>
      </c>
      <c r="B15" s="21" t="s">
        <v>163</v>
      </c>
      <c r="C15" s="21" t="s">
        <v>164</v>
      </c>
      <c r="D15" s="21">
        <v>140.44999999999999</v>
      </c>
      <c r="E15" s="21">
        <v>28.09</v>
      </c>
      <c r="F15" s="21">
        <f t="shared" si="0"/>
        <v>168.54</v>
      </c>
      <c r="G15" s="21" t="s">
        <v>149</v>
      </c>
      <c r="H15" t="s">
        <v>150</v>
      </c>
      <c r="I15" t="s">
        <v>162</v>
      </c>
    </row>
    <row r="16" spans="1:9" x14ac:dyDescent="0.2">
      <c r="A16" s="20">
        <v>44739</v>
      </c>
      <c r="B16" s="21" t="s">
        <v>165</v>
      </c>
      <c r="C16" s="21" t="s">
        <v>166</v>
      </c>
      <c r="D16" s="21">
        <v>40.35</v>
      </c>
      <c r="E16" s="21">
        <v>8.07</v>
      </c>
      <c r="F16" s="21">
        <f t="shared" si="0"/>
        <v>48.42</v>
      </c>
      <c r="G16" s="21" t="s">
        <v>149</v>
      </c>
      <c r="H16" t="s">
        <v>150</v>
      </c>
      <c r="I16" t="s">
        <v>162</v>
      </c>
    </row>
    <row r="17" spans="1:16" x14ac:dyDescent="0.2">
      <c r="A17" s="20">
        <v>44741</v>
      </c>
      <c r="B17" s="21" t="s">
        <v>167</v>
      </c>
      <c r="C17" s="21" t="s">
        <v>168</v>
      </c>
      <c r="D17" s="21">
        <v>503.33</v>
      </c>
      <c r="E17" s="21">
        <v>100.67</v>
      </c>
      <c r="F17" s="21">
        <f t="shared" si="0"/>
        <v>604</v>
      </c>
      <c r="G17" s="21" t="s">
        <v>149</v>
      </c>
      <c r="H17" t="s">
        <v>150</v>
      </c>
      <c r="I17" t="s">
        <v>162</v>
      </c>
      <c r="J17">
        <f>1500+800</f>
        <v>2300</v>
      </c>
      <c r="K17">
        <f>J17/J19</f>
        <v>0.8214285714285714</v>
      </c>
      <c r="L17">
        <f>J19*0.8</f>
        <v>2240</v>
      </c>
      <c r="N17" t="s">
        <v>169</v>
      </c>
      <c r="O17">
        <f>SUM(F2:F17)+F27+F28+F32</f>
        <v>1269.1300000000001</v>
      </c>
      <c r="P17" t="s">
        <v>170</v>
      </c>
    </row>
    <row r="18" spans="1:16" x14ac:dyDescent="0.2">
      <c r="A18" s="20">
        <v>44843</v>
      </c>
      <c r="B18" s="21" t="s">
        <v>171</v>
      </c>
      <c r="C18" s="21" t="s">
        <v>172</v>
      </c>
      <c r="D18" s="21">
        <v>268.92</v>
      </c>
      <c r="E18" s="21">
        <v>0</v>
      </c>
      <c r="F18" s="21">
        <f t="shared" si="0"/>
        <v>268.92</v>
      </c>
      <c r="G18" s="21" t="s">
        <v>151</v>
      </c>
      <c r="J18">
        <v>500</v>
      </c>
      <c r="K18">
        <f>J18/J19</f>
        <v>0.17857142857142858</v>
      </c>
      <c r="L18">
        <f>J19*0.2</f>
        <v>560</v>
      </c>
    </row>
    <row r="19" spans="1:16" x14ac:dyDescent="0.2">
      <c r="A19" s="20">
        <v>44844</v>
      </c>
      <c r="B19" s="21" t="s">
        <v>133</v>
      </c>
      <c r="C19" s="21" t="s">
        <v>173</v>
      </c>
      <c r="D19" s="21">
        <v>158</v>
      </c>
      <c r="E19" s="21">
        <v>0</v>
      </c>
      <c r="F19" s="21">
        <f t="shared" si="0"/>
        <v>158</v>
      </c>
      <c r="G19" s="21" t="s">
        <v>151</v>
      </c>
      <c r="J19">
        <f>SUM(J17:J18)</f>
        <v>2800</v>
      </c>
    </row>
    <row r="20" spans="1:16" x14ac:dyDescent="0.2">
      <c r="A20" s="20">
        <v>44860</v>
      </c>
      <c r="B20" s="21" t="s">
        <v>174</v>
      </c>
      <c r="C20" s="21" t="s">
        <v>175</v>
      </c>
      <c r="D20" s="21">
        <v>240</v>
      </c>
      <c r="E20" s="21">
        <v>0</v>
      </c>
      <c r="F20" s="21">
        <f t="shared" si="0"/>
        <v>240</v>
      </c>
      <c r="G20" s="21" t="s">
        <v>151</v>
      </c>
      <c r="J20">
        <v>816</v>
      </c>
      <c r="K20" t="s">
        <v>176</v>
      </c>
    </row>
    <row r="21" spans="1:16" x14ac:dyDescent="0.2">
      <c r="A21" s="20">
        <v>44852</v>
      </c>
      <c r="B21" s="21" t="s">
        <v>177</v>
      </c>
      <c r="C21" s="21"/>
      <c r="D21" s="21">
        <v>50</v>
      </c>
      <c r="E21" s="21">
        <v>0</v>
      </c>
      <c r="F21" s="21">
        <v>50</v>
      </c>
      <c r="G21" s="21" t="s">
        <v>151</v>
      </c>
      <c r="J21">
        <v>204</v>
      </c>
      <c r="K21" t="s">
        <v>178</v>
      </c>
    </row>
    <row r="22" spans="1:16" x14ac:dyDescent="0.2">
      <c r="A22" s="20">
        <v>44870</v>
      </c>
      <c r="B22" s="21" t="s">
        <v>179</v>
      </c>
      <c r="C22" s="21"/>
      <c r="D22" s="21">
        <v>25.99</v>
      </c>
      <c r="E22" s="21">
        <v>0</v>
      </c>
      <c r="F22" s="21">
        <v>25.99</v>
      </c>
      <c r="G22" s="21" t="s">
        <v>151</v>
      </c>
    </row>
    <row r="23" spans="1:16" x14ac:dyDescent="0.2">
      <c r="A23" s="20">
        <v>44900</v>
      </c>
      <c r="B23" s="21" t="s">
        <v>179</v>
      </c>
      <c r="C23" s="21"/>
      <c r="D23" s="21">
        <v>25.99</v>
      </c>
      <c r="E23" s="21">
        <v>0</v>
      </c>
      <c r="F23" s="21">
        <v>25.99</v>
      </c>
      <c r="G23" s="21" t="s">
        <v>151</v>
      </c>
    </row>
    <row r="24" spans="1:16" x14ac:dyDescent="0.2">
      <c r="A24" s="8">
        <v>44931</v>
      </c>
      <c r="B24" t="s">
        <v>179</v>
      </c>
      <c r="D24">
        <v>25.99</v>
      </c>
      <c r="E24">
        <v>0</v>
      </c>
      <c r="F24">
        <v>25.99</v>
      </c>
      <c r="G24" t="s">
        <v>151</v>
      </c>
    </row>
    <row r="25" spans="1:16" x14ac:dyDescent="0.2">
      <c r="A25" s="8">
        <v>44962</v>
      </c>
      <c r="B25" t="s">
        <v>179</v>
      </c>
      <c r="D25">
        <v>25.99</v>
      </c>
      <c r="E25">
        <v>0</v>
      </c>
      <c r="F25">
        <v>25.99</v>
      </c>
      <c r="G25" t="s">
        <v>151</v>
      </c>
    </row>
    <row r="26" spans="1:16" x14ac:dyDescent="0.2">
      <c r="A26" s="8">
        <v>44990</v>
      </c>
      <c r="B26" t="s">
        <v>179</v>
      </c>
      <c r="D26">
        <v>25.99</v>
      </c>
      <c r="E26">
        <v>0</v>
      </c>
      <c r="F26">
        <v>25.99</v>
      </c>
      <c r="G26" t="s">
        <v>151</v>
      </c>
    </row>
    <row r="27" spans="1:16" x14ac:dyDescent="0.2">
      <c r="A27" s="21"/>
      <c r="B27" s="21" t="s">
        <v>180</v>
      </c>
      <c r="C27" s="21"/>
      <c r="D27" s="21"/>
      <c r="E27" s="21"/>
      <c r="F27" s="21">
        <v>34.39</v>
      </c>
      <c r="G27" s="21" t="s">
        <v>149</v>
      </c>
      <c r="H27" t="s">
        <v>150</v>
      </c>
      <c r="I27" t="s">
        <v>162</v>
      </c>
    </row>
    <row r="28" spans="1:16" x14ac:dyDescent="0.2">
      <c r="A28" s="21"/>
      <c r="B28" s="21" t="s">
        <v>181</v>
      </c>
      <c r="C28" s="21"/>
      <c r="D28" s="21">
        <v>25</v>
      </c>
      <c r="E28" s="21"/>
      <c r="F28" s="21">
        <v>17.27</v>
      </c>
      <c r="G28" s="21" t="s">
        <v>149</v>
      </c>
      <c r="H28" t="s">
        <v>150</v>
      </c>
      <c r="I28" t="s">
        <v>162</v>
      </c>
    </row>
    <row r="29" spans="1:16" x14ac:dyDescent="0.2">
      <c r="B29" t="s">
        <v>182</v>
      </c>
      <c r="D29">
        <v>341</v>
      </c>
      <c r="F29">
        <f t="shared" ref="F29:F30" si="2">D29</f>
        <v>341</v>
      </c>
      <c r="G29" t="s">
        <v>151</v>
      </c>
    </row>
    <row r="30" spans="1:16" x14ac:dyDescent="0.2">
      <c r="B30" t="s">
        <v>84</v>
      </c>
      <c r="D30">
        <v>48</v>
      </c>
      <c r="F30">
        <f t="shared" si="2"/>
        <v>48</v>
      </c>
      <c r="G30" t="s">
        <v>151</v>
      </c>
    </row>
    <row r="31" spans="1:16" x14ac:dyDescent="0.2">
      <c r="B31" t="s">
        <v>183</v>
      </c>
      <c r="F31">
        <v>406</v>
      </c>
      <c r="G31" t="s">
        <v>151</v>
      </c>
    </row>
    <row r="32" spans="1:16" x14ac:dyDescent="0.2">
      <c r="A32" s="21"/>
      <c r="B32" s="21" t="s">
        <v>184</v>
      </c>
      <c r="C32" s="21"/>
      <c r="D32" s="21"/>
      <c r="E32" s="21"/>
      <c r="F32" s="21">
        <v>51.99</v>
      </c>
      <c r="G32" s="21" t="s">
        <v>149</v>
      </c>
      <c r="H32" t="s">
        <v>150</v>
      </c>
    </row>
    <row r="33" spans="1:7" x14ac:dyDescent="0.2">
      <c r="A33" s="8">
        <v>44900</v>
      </c>
      <c r="B33" t="s">
        <v>81</v>
      </c>
      <c r="F33">
        <v>14.39</v>
      </c>
      <c r="G33" t="s">
        <v>151</v>
      </c>
    </row>
    <row r="34" spans="1:7" x14ac:dyDescent="0.2">
      <c r="A34" s="8">
        <v>44931</v>
      </c>
      <c r="F34">
        <v>14.39</v>
      </c>
      <c r="G34" t="s">
        <v>151</v>
      </c>
    </row>
    <row r="35" spans="1:7" x14ac:dyDescent="0.2">
      <c r="A35" s="8">
        <v>44962</v>
      </c>
      <c r="F35">
        <v>14.39</v>
      </c>
      <c r="G35" t="s">
        <v>151</v>
      </c>
    </row>
    <row r="36" spans="1:7" x14ac:dyDescent="0.2">
      <c r="A36" s="8">
        <v>44990</v>
      </c>
      <c r="F36">
        <v>14.39</v>
      </c>
      <c r="G36" t="s">
        <v>151</v>
      </c>
    </row>
    <row r="37" spans="1:7" x14ac:dyDescent="0.2">
      <c r="A37" s="8">
        <v>44912</v>
      </c>
      <c r="F37">
        <v>16.8</v>
      </c>
      <c r="G37" t="s">
        <v>151</v>
      </c>
    </row>
    <row r="38" spans="1:7" x14ac:dyDescent="0.2">
      <c r="A38" s="8">
        <v>44943</v>
      </c>
      <c r="F38">
        <v>16.8</v>
      </c>
      <c r="G38" t="s">
        <v>151</v>
      </c>
    </row>
    <row r="39" spans="1:7" x14ac:dyDescent="0.2">
      <c r="A39" s="8">
        <v>44974</v>
      </c>
      <c r="F39">
        <v>16.8</v>
      </c>
      <c r="G39" t="s">
        <v>151</v>
      </c>
    </row>
    <row r="40" spans="1:7" x14ac:dyDescent="0.2">
      <c r="A40" s="8">
        <v>45002</v>
      </c>
      <c r="F40">
        <v>16.8</v>
      </c>
      <c r="G40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A2AE-A3EF-4759-9221-31185C12555F}">
  <dimension ref="A1:G8"/>
  <sheetViews>
    <sheetView workbookViewId="0">
      <selection activeCell="D2" sqref="D2"/>
    </sheetView>
  </sheetViews>
  <sheetFormatPr baseColWidth="10" defaultColWidth="8.83203125" defaultRowHeight="15" x14ac:dyDescent="0.2"/>
  <cols>
    <col min="1" max="1" width="10.33203125" bestFit="1" customWidth="1"/>
  </cols>
  <sheetData>
    <row r="1" spans="1:7" x14ac:dyDescent="0.2">
      <c r="A1" t="s">
        <v>141</v>
      </c>
      <c r="B1" t="s">
        <v>185</v>
      </c>
      <c r="C1" t="s">
        <v>186</v>
      </c>
      <c r="D1" t="s">
        <v>187</v>
      </c>
      <c r="E1" t="s">
        <v>188</v>
      </c>
      <c r="F1" t="s">
        <v>189</v>
      </c>
      <c r="G1" t="s">
        <v>45</v>
      </c>
    </row>
    <row r="2" spans="1:7" x14ac:dyDescent="0.2">
      <c r="A2" s="8">
        <v>44776</v>
      </c>
      <c r="B2" t="s">
        <v>190</v>
      </c>
      <c r="C2" t="s">
        <v>191</v>
      </c>
      <c r="D2" t="s">
        <v>192</v>
      </c>
      <c r="E2">
        <f>17*2</f>
        <v>34</v>
      </c>
      <c r="F2">
        <v>0.45</v>
      </c>
      <c r="G2">
        <f>E2*F2</f>
        <v>15.3</v>
      </c>
    </row>
    <row r="3" spans="1:7" x14ac:dyDescent="0.2">
      <c r="A3" s="8">
        <v>44748</v>
      </c>
      <c r="B3" t="s">
        <v>190</v>
      </c>
      <c r="C3" t="s">
        <v>191</v>
      </c>
      <c r="D3" t="s">
        <v>192</v>
      </c>
      <c r="E3">
        <v>34</v>
      </c>
      <c r="F3">
        <v>0.45</v>
      </c>
      <c r="G3">
        <f>E3*F3</f>
        <v>15.3</v>
      </c>
    </row>
    <row r="4" spans="1:7" x14ac:dyDescent="0.2">
      <c r="A4" s="8">
        <v>44884</v>
      </c>
      <c r="B4" t="s">
        <v>193</v>
      </c>
      <c r="C4" t="s">
        <v>194</v>
      </c>
      <c r="D4" t="s">
        <v>69</v>
      </c>
      <c r="E4">
        <v>20.6</v>
      </c>
      <c r="F4">
        <v>0.45</v>
      </c>
      <c r="G4">
        <f t="shared" ref="G4:G8" si="0">E4*F4</f>
        <v>9.2700000000000014</v>
      </c>
    </row>
    <row r="5" spans="1:7" x14ac:dyDescent="0.2">
      <c r="A5" s="8">
        <v>44884</v>
      </c>
      <c r="B5" t="s">
        <v>194</v>
      </c>
      <c r="C5" t="s">
        <v>195</v>
      </c>
      <c r="D5" t="s">
        <v>196</v>
      </c>
      <c r="E5">
        <v>7</v>
      </c>
      <c r="F5">
        <v>0.45</v>
      </c>
      <c r="G5">
        <f t="shared" si="0"/>
        <v>3.15</v>
      </c>
    </row>
    <row r="6" spans="1:7" x14ac:dyDescent="0.2">
      <c r="A6" s="8">
        <v>44884</v>
      </c>
      <c r="B6" t="s">
        <v>197</v>
      </c>
      <c r="C6" t="s">
        <v>190</v>
      </c>
      <c r="D6" t="s">
        <v>196</v>
      </c>
      <c r="E6">
        <v>25.5</v>
      </c>
      <c r="F6">
        <v>0.45</v>
      </c>
      <c r="G6">
        <f t="shared" si="0"/>
        <v>11.475</v>
      </c>
    </row>
    <row r="7" spans="1:7" x14ac:dyDescent="0.2">
      <c r="A7" s="8">
        <v>44904</v>
      </c>
      <c r="B7" t="s">
        <v>190</v>
      </c>
      <c r="C7" t="s">
        <v>194</v>
      </c>
      <c r="D7" t="s">
        <v>69</v>
      </c>
      <c r="E7">
        <v>20.6</v>
      </c>
      <c r="F7">
        <v>0.45</v>
      </c>
      <c r="G7">
        <f t="shared" si="0"/>
        <v>9.2700000000000014</v>
      </c>
    </row>
    <row r="8" spans="1:7" x14ac:dyDescent="0.2">
      <c r="A8" s="8">
        <v>44904</v>
      </c>
      <c r="B8" t="s">
        <v>194</v>
      </c>
      <c r="C8" t="s">
        <v>190</v>
      </c>
      <c r="D8" t="s">
        <v>69</v>
      </c>
      <c r="E8">
        <v>20.6</v>
      </c>
      <c r="F8">
        <v>0.45</v>
      </c>
      <c r="G8">
        <f t="shared" si="0"/>
        <v>9.2700000000000014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B4E3017164847B51F084057EF1450" ma:contentTypeVersion="12" ma:contentTypeDescription="Create a new document." ma:contentTypeScope="" ma:versionID="dea5f1f58d88b8fbe461acc3977875ea">
  <xsd:schema xmlns:xsd="http://www.w3.org/2001/XMLSchema" xmlns:xs="http://www.w3.org/2001/XMLSchema" xmlns:p="http://schemas.microsoft.com/office/2006/metadata/properties" xmlns:ns2="44ed13a4-9246-4942-82a4-8d6f87200a39" xmlns:ns3="ced74305-e3e8-4fd4-990d-d2076df78d34" targetNamespace="http://schemas.microsoft.com/office/2006/metadata/properties" ma:root="true" ma:fieldsID="8692c2d537354c7c503740a28158dd94" ns2:_="" ns3:_="">
    <xsd:import namespace="44ed13a4-9246-4942-82a4-8d6f87200a39"/>
    <xsd:import namespace="ced74305-e3e8-4fd4-990d-d2076df78d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13a4-9246-4942-82a4-8d6f87200a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926460-03fb-43e3-b85e-55cd82188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74305-e3e8-4fd4-990d-d2076df78d3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9eca262-d373-4b52-a3c0-e9423ba939d7}" ma:internalName="TaxCatchAll" ma:showField="CatchAllData" ma:web="ced74305-e3e8-4fd4-990d-d2076df78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d13a4-9246-4942-82a4-8d6f87200a39">
      <Terms xmlns="http://schemas.microsoft.com/office/infopath/2007/PartnerControls"/>
    </lcf76f155ced4ddcb4097134ff3c332f>
    <TaxCatchAll xmlns="ced74305-e3e8-4fd4-990d-d2076df78d34" xsi:nil="true"/>
  </documentManagement>
</p:properties>
</file>

<file path=customXml/itemProps1.xml><?xml version="1.0" encoding="utf-8"?>
<ds:datastoreItem xmlns:ds="http://schemas.openxmlformats.org/officeDocument/2006/customXml" ds:itemID="{8B466AF0-0C36-4C7B-8DF4-7276C505EF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A5977B-4E79-40A8-AB9D-104A8C92A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d13a4-9246-4942-82a4-8d6f87200a39"/>
    <ds:schemaRef ds:uri="ced74305-e3e8-4fd4-990d-d2076df78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60F541-CE2B-41B6-8569-ED368219D242}">
  <ds:schemaRefs>
    <ds:schemaRef ds:uri="http://schemas.microsoft.com/office/2006/metadata/properties"/>
    <ds:schemaRef ds:uri="http://schemas.microsoft.com/office/infopath/2007/PartnerControls"/>
    <ds:schemaRef ds:uri="44ed13a4-9246-4942-82a4-8d6f87200a39"/>
    <ds:schemaRef ds:uri="ced74305-e3e8-4fd4-990d-d2076df78d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Fee Structure</vt:lpstr>
      <vt:lpstr>Fees Summary</vt:lpstr>
      <vt:lpstr>Yr 1 (Jan 2023+)</vt:lpstr>
      <vt:lpstr>Apr 2025-26</vt:lpstr>
      <vt:lpstr>New Cash Flow!  Sept 23</vt:lpstr>
      <vt:lpstr>P&amp;L Account</vt:lpstr>
      <vt:lpstr>Costs 22.23</vt:lpstr>
      <vt:lpstr>Mileage 22.23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Forth</dc:creator>
  <cp:keywords/>
  <dc:description/>
  <cp:lastModifiedBy>Elaine Tibbatts</cp:lastModifiedBy>
  <cp:revision/>
  <dcterms:created xsi:type="dcterms:W3CDTF">2022-06-11T17:56:24Z</dcterms:created>
  <dcterms:modified xsi:type="dcterms:W3CDTF">2025-01-21T14:46:13Z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0x010100D7BB4E3017164847B51F084057EF1450</vt:lpwstr>
  </property>
  <property fmtid="{D5CDD505-2E9C-101B-9397-08002B2CF9AE}" pid="3" name="MediaServiceImageTags">
    <vt:lpwstr/>
  </property>
</Properties>
</file>